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980" yWindow="520" windowWidth="25040" windowHeight="15500" tabRatio="534" activeTab="6"/>
  </bookViews>
  <sheets>
    <sheet name="preyabun" sheetId="1" r:id="rId1"/>
    <sheet name="SSC" sheetId="2" r:id="rId2"/>
    <sheet name="FSC" sheetId="11" r:id="rId3"/>
    <sheet name="Red" sheetId="12" r:id="rId4"/>
    <sheet name="fvfm" sheetId="3" r:id="rId5"/>
    <sheet name="predabun" sheetId="4" r:id="rId6"/>
    <sheet name="DMSPp" sheetId="14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4" l="1"/>
  <c r="K8" i="4"/>
  <c r="K9" i="4"/>
  <c r="K13" i="4"/>
  <c r="K14" i="4"/>
  <c r="K17" i="4"/>
  <c r="K18" i="4"/>
  <c r="K19" i="4"/>
  <c r="K23" i="4"/>
  <c r="K24" i="4"/>
  <c r="K27" i="4"/>
  <c r="K28" i="4"/>
  <c r="K29" i="4"/>
  <c r="K7" i="4"/>
  <c r="K4" i="4"/>
  <c r="J29" i="4"/>
  <c r="J28" i="4"/>
  <c r="J27" i="4"/>
  <c r="J24" i="4"/>
  <c r="J23" i="4"/>
  <c r="J19" i="4"/>
  <c r="J18" i="4"/>
  <c r="J17" i="4"/>
  <c r="J14" i="4"/>
  <c r="J13" i="4"/>
  <c r="J9" i="4"/>
  <c r="J7" i="4"/>
  <c r="J5" i="4"/>
  <c r="J6" i="4"/>
  <c r="J4" i="4"/>
  <c r="I39" i="4"/>
  <c r="I38" i="4"/>
  <c r="I37" i="4"/>
  <c r="I36" i="4"/>
  <c r="L8" i="4"/>
  <c r="O8" i="4"/>
  <c r="P8" i="4"/>
  <c r="R8" i="4"/>
  <c r="R9" i="4"/>
  <c r="R13" i="4"/>
  <c r="R14" i="4"/>
  <c r="R17" i="4"/>
  <c r="R18" i="4"/>
  <c r="R19" i="4"/>
  <c r="R23" i="4"/>
  <c r="R24" i="4"/>
  <c r="R27" i="4"/>
  <c r="R28" i="4"/>
  <c r="R29" i="4"/>
  <c r="R7" i="4"/>
  <c r="R4" i="4"/>
  <c r="O5" i="4"/>
  <c r="P5" i="4"/>
  <c r="Q5" i="4"/>
  <c r="O6" i="4"/>
  <c r="P6" i="4"/>
  <c r="Q6" i="4"/>
  <c r="O7" i="4"/>
  <c r="P7" i="4"/>
  <c r="Q7" i="4"/>
  <c r="Q8" i="4"/>
  <c r="Q9" i="4"/>
  <c r="O10" i="4"/>
  <c r="P10" i="4"/>
  <c r="Q10" i="4"/>
  <c r="O11" i="4"/>
  <c r="P11" i="4"/>
  <c r="Q11" i="4"/>
  <c r="O12" i="4"/>
  <c r="P12" i="4"/>
  <c r="Q12" i="4"/>
  <c r="O13" i="4"/>
  <c r="P13" i="4"/>
  <c r="Q13" i="4"/>
  <c r="Q14" i="4"/>
  <c r="O15" i="4"/>
  <c r="P15" i="4"/>
  <c r="Q15" i="4"/>
  <c r="O16" i="4"/>
  <c r="P16" i="4"/>
  <c r="Q16" i="4"/>
  <c r="O17" i="4"/>
  <c r="P17" i="4"/>
  <c r="Q17" i="4"/>
  <c r="Q18" i="4"/>
  <c r="Q19" i="4"/>
  <c r="O20" i="4"/>
  <c r="P20" i="4"/>
  <c r="Q20" i="4"/>
  <c r="O21" i="4"/>
  <c r="P21" i="4"/>
  <c r="Q21" i="4"/>
  <c r="O22" i="4"/>
  <c r="P22" i="4"/>
  <c r="Q22" i="4"/>
  <c r="O23" i="4"/>
  <c r="P23" i="4"/>
  <c r="Q23" i="4"/>
  <c r="Q24" i="4"/>
  <c r="O25" i="4"/>
  <c r="P25" i="4"/>
  <c r="Q25" i="4"/>
  <c r="O26" i="4"/>
  <c r="P26" i="4"/>
  <c r="Q26" i="4"/>
  <c r="O27" i="4"/>
  <c r="P27" i="4"/>
  <c r="Q27" i="4"/>
  <c r="Q28" i="4"/>
  <c r="Q29" i="4"/>
  <c r="O30" i="4"/>
  <c r="P30" i="4"/>
  <c r="Q30" i="4"/>
  <c r="O31" i="4"/>
  <c r="P31" i="4"/>
  <c r="Q31" i="4"/>
  <c r="O32" i="4"/>
  <c r="P32" i="4"/>
  <c r="Q32" i="4"/>
  <c r="Q4" i="4"/>
  <c r="O19" i="4"/>
  <c r="O18" i="4"/>
  <c r="O29" i="4"/>
  <c r="O28" i="4"/>
  <c r="O24" i="4"/>
  <c r="O14" i="4"/>
  <c r="O9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4" i="4"/>
  <c r="P9" i="4"/>
  <c r="P14" i="4"/>
  <c r="P18" i="4"/>
  <c r="P19" i="4"/>
  <c r="P24" i="4"/>
  <c r="P28" i="4"/>
  <c r="P29" i="4"/>
  <c r="P4" i="4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7" i="1"/>
  <c r="O17" i="14"/>
  <c r="P17" i="14"/>
  <c r="Q17" i="14"/>
  <c r="O16" i="14"/>
  <c r="P16" i="14"/>
  <c r="Q16" i="14"/>
  <c r="AD57" i="14"/>
  <c r="AD56" i="14"/>
  <c r="AD55" i="14"/>
  <c r="AD52" i="14"/>
  <c r="AD51" i="14"/>
  <c r="AD47" i="14"/>
  <c r="AD46" i="14"/>
  <c r="AD45" i="14"/>
  <c r="AD42" i="14"/>
  <c r="AD41" i="14"/>
  <c r="AD37" i="14"/>
  <c r="AD36" i="14"/>
  <c r="AD35" i="14"/>
  <c r="AC55" i="14"/>
  <c r="AC51" i="14"/>
  <c r="AC45" i="14"/>
  <c r="AC41" i="14"/>
  <c r="AC35" i="14"/>
  <c r="AB55" i="14"/>
  <c r="AB51" i="14"/>
  <c r="AB45" i="14"/>
  <c r="AB41" i="14"/>
  <c r="AB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35" i="14"/>
  <c r="Z36" i="14"/>
  <c r="Z37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50" i="14"/>
  <c r="Z51" i="14"/>
  <c r="Z52" i="14"/>
  <c r="Z53" i="14"/>
  <c r="Z54" i="14"/>
  <c r="Z55" i="14"/>
  <c r="Z56" i="14"/>
  <c r="Z57" i="14"/>
  <c r="Z35" i="14"/>
  <c r="Y36" i="14"/>
  <c r="Y37" i="14"/>
  <c r="Y41" i="14"/>
  <c r="Y42" i="14"/>
  <c r="Y45" i="14"/>
  <c r="Y46" i="14"/>
  <c r="Y47" i="14"/>
  <c r="Y51" i="14"/>
  <c r="Y52" i="14"/>
  <c r="Y55" i="14"/>
  <c r="Y56" i="14"/>
  <c r="Y57" i="14"/>
  <c r="Y35" i="14"/>
  <c r="X36" i="14"/>
  <c r="X37" i="14"/>
  <c r="X38" i="14"/>
  <c r="X39" i="14"/>
  <c r="X40" i="14"/>
  <c r="X41" i="14"/>
  <c r="X42" i="14"/>
  <c r="X43" i="14"/>
  <c r="X44" i="14"/>
  <c r="X45" i="14"/>
  <c r="X46" i="14"/>
  <c r="X47" i="14"/>
  <c r="X48" i="14"/>
  <c r="X49" i="14"/>
  <c r="X50" i="14"/>
  <c r="X51" i="14"/>
  <c r="X52" i="14"/>
  <c r="X53" i="14"/>
  <c r="X54" i="14"/>
  <c r="X55" i="14"/>
  <c r="X56" i="14"/>
  <c r="X57" i="14"/>
  <c r="X35" i="14"/>
  <c r="J36" i="14"/>
  <c r="Q58" i="14"/>
  <c r="Q55" i="14"/>
  <c r="Q53" i="14"/>
  <c r="Q51" i="14"/>
  <c r="Q48" i="14"/>
  <c r="Q45" i="14"/>
  <c r="Q43" i="14"/>
  <c r="Q41" i="14"/>
  <c r="Q38" i="14"/>
  <c r="M36" i="14"/>
  <c r="N36" i="14"/>
  <c r="O36" i="14"/>
  <c r="Q35" i="14"/>
  <c r="P58" i="14"/>
  <c r="P55" i="14"/>
  <c r="P53" i="14"/>
  <c r="P51" i="14"/>
  <c r="P48" i="14"/>
  <c r="P45" i="14"/>
  <c r="P43" i="14"/>
  <c r="P41" i="14"/>
  <c r="P38" i="14"/>
  <c r="P35" i="14"/>
  <c r="Q28" i="14"/>
  <c r="Q25" i="14"/>
  <c r="P28" i="14"/>
  <c r="P25" i="14"/>
  <c r="I23" i="14"/>
  <c r="J23" i="14"/>
  <c r="M23" i="14"/>
  <c r="N23" i="14"/>
  <c r="O23" i="14"/>
  <c r="I24" i="14"/>
  <c r="J24" i="14"/>
  <c r="M24" i="14"/>
  <c r="N24" i="14"/>
  <c r="O24" i="14"/>
  <c r="I25" i="14"/>
  <c r="J25" i="14"/>
  <c r="M25" i="14"/>
  <c r="N25" i="14"/>
  <c r="O25" i="14"/>
  <c r="I26" i="14"/>
  <c r="J26" i="14"/>
  <c r="M26" i="14"/>
  <c r="N26" i="14"/>
  <c r="O26" i="14"/>
  <c r="I27" i="14"/>
  <c r="J27" i="14"/>
  <c r="M27" i="14"/>
  <c r="N27" i="14"/>
  <c r="O27" i="14"/>
  <c r="I28" i="14"/>
  <c r="J28" i="14"/>
  <c r="M28" i="14"/>
  <c r="N28" i="14"/>
  <c r="O28" i="14"/>
  <c r="I29" i="14"/>
  <c r="J29" i="14"/>
  <c r="M29" i="14"/>
  <c r="N29" i="14"/>
  <c r="O29" i="14"/>
  <c r="I30" i="14"/>
  <c r="J30" i="14"/>
  <c r="M30" i="14"/>
  <c r="N30" i="14"/>
  <c r="O30" i="14"/>
  <c r="I31" i="14"/>
  <c r="J31" i="14"/>
  <c r="M31" i="14"/>
  <c r="N31" i="14"/>
  <c r="O31" i="14"/>
  <c r="I32" i="14"/>
  <c r="J32" i="14"/>
  <c r="M32" i="14"/>
  <c r="N32" i="14"/>
  <c r="O32" i="14"/>
  <c r="I33" i="14"/>
  <c r="J33" i="14"/>
  <c r="M33" i="14"/>
  <c r="N33" i="14"/>
  <c r="O33" i="14"/>
  <c r="I34" i="14"/>
  <c r="J34" i="14"/>
  <c r="M34" i="14"/>
  <c r="N34" i="14"/>
  <c r="O34" i="14"/>
  <c r="I35" i="14"/>
  <c r="J35" i="14"/>
  <c r="M35" i="14"/>
  <c r="N35" i="14"/>
  <c r="O35" i="14"/>
  <c r="I36" i="14"/>
  <c r="I37" i="14"/>
  <c r="J37" i="14"/>
  <c r="M37" i="14"/>
  <c r="N37" i="14"/>
  <c r="O37" i="14"/>
  <c r="I38" i="14"/>
  <c r="J38" i="14"/>
  <c r="M38" i="14"/>
  <c r="N38" i="14"/>
  <c r="O38" i="14"/>
  <c r="I39" i="14"/>
  <c r="J39" i="14"/>
  <c r="M39" i="14"/>
  <c r="N39" i="14"/>
  <c r="O39" i="14"/>
  <c r="I40" i="14"/>
  <c r="J40" i="14"/>
  <c r="M40" i="14"/>
  <c r="N40" i="14"/>
  <c r="O40" i="14"/>
  <c r="I41" i="14"/>
  <c r="J41" i="14"/>
  <c r="M41" i="14"/>
  <c r="N41" i="14"/>
  <c r="O41" i="14"/>
  <c r="I42" i="14"/>
  <c r="J42" i="14"/>
  <c r="M42" i="14"/>
  <c r="N42" i="14"/>
  <c r="O42" i="14"/>
  <c r="I43" i="14"/>
  <c r="J43" i="14"/>
  <c r="M43" i="14"/>
  <c r="N43" i="14"/>
  <c r="O43" i="14"/>
  <c r="I44" i="14"/>
  <c r="J44" i="14"/>
  <c r="M44" i="14"/>
  <c r="N44" i="14"/>
  <c r="O44" i="14"/>
  <c r="I45" i="14"/>
  <c r="J45" i="14"/>
  <c r="M45" i="14"/>
  <c r="N45" i="14"/>
  <c r="O45" i="14"/>
  <c r="I46" i="14"/>
  <c r="J46" i="14"/>
  <c r="M46" i="14"/>
  <c r="N46" i="14"/>
  <c r="O46" i="14"/>
  <c r="I47" i="14"/>
  <c r="J47" i="14"/>
  <c r="M47" i="14"/>
  <c r="N47" i="14"/>
  <c r="O47" i="14"/>
  <c r="I48" i="14"/>
  <c r="J48" i="14"/>
  <c r="M48" i="14"/>
  <c r="N48" i="14"/>
  <c r="O48" i="14"/>
  <c r="I49" i="14"/>
  <c r="J49" i="14"/>
  <c r="M49" i="14"/>
  <c r="N49" i="14"/>
  <c r="O49" i="14"/>
  <c r="I50" i="14"/>
  <c r="J50" i="14"/>
  <c r="M50" i="14"/>
  <c r="N50" i="14"/>
  <c r="O50" i="14"/>
  <c r="I51" i="14"/>
  <c r="J51" i="14"/>
  <c r="M51" i="14"/>
  <c r="N51" i="14"/>
  <c r="O51" i="14"/>
  <c r="I52" i="14"/>
  <c r="J52" i="14"/>
  <c r="M52" i="14"/>
  <c r="N52" i="14"/>
  <c r="O52" i="14"/>
  <c r="I53" i="14"/>
  <c r="J53" i="14"/>
  <c r="M53" i="14"/>
  <c r="N53" i="14"/>
  <c r="O53" i="14"/>
  <c r="I54" i="14"/>
  <c r="J54" i="14"/>
  <c r="M54" i="14"/>
  <c r="N54" i="14"/>
  <c r="O54" i="14"/>
  <c r="I55" i="14"/>
  <c r="J55" i="14"/>
  <c r="M55" i="14"/>
  <c r="N55" i="14"/>
  <c r="O55" i="14"/>
  <c r="I56" i="14"/>
  <c r="J56" i="14"/>
  <c r="M56" i="14"/>
  <c r="N56" i="14"/>
  <c r="O56" i="14"/>
  <c r="I57" i="14"/>
  <c r="J57" i="14"/>
  <c r="M57" i="14"/>
  <c r="N57" i="14"/>
  <c r="O57" i="14"/>
  <c r="I58" i="14"/>
  <c r="J58" i="14"/>
  <c r="M58" i="14"/>
  <c r="N58" i="14"/>
  <c r="O58" i="14"/>
  <c r="I59" i="14"/>
  <c r="J59" i="14"/>
  <c r="M59" i="14"/>
  <c r="N59" i="14"/>
  <c r="O59" i="14"/>
  <c r="I60" i="14"/>
  <c r="J60" i="14"/>
  <c r="M60" i="14"/>
  <c r="N60" i="14"/>
  <c r="O60" i="14"/>
  <c r="I61" i="14"/>
  <c r="J61" i="14"/>
  <c r="M61" i="14"/>
  <c r="N61" i="14"/>
  <c r="O61" i="14"/>
  <c r="O22" i="14"/>
  <c r="N22" i="14"/>
  <c r="M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22" i="14"/>
  <c r="J22" i="14"/>
  <c r="I22" i="14"/>
  <c r="D7" i="14"/>
  <c r="D8" i="14"/>
  <c r="D9" i="14"/>
  <c r="D10" i="14"/>
  <c r="D11" i="14"/>
  <c r="D12" i="14"/>
  <c r="D6" i="14"/>
  <c r="G30" i="12"/>
  <c r="E30" i="12"/>
  <c r="H30" i="12"/>
  <c r="G27" i="12"/>
  <c r="E27" i="12"/>
  <c r="H27" i="12"/>
  <c r="G25" i="12"/>
  <c r="E25" i="12"/>
  <c r="H25" i="12"/>
  <c r="G23" i="12"/>
  <c r="E23" i="12"/>
  <c r="H23" i="12"/>
  <c r="G20" i="12"/>
  <c r="E20" i="12"/>
  <c r="H20" i="12"/>
  <c r="G17" i="12"/>
  <c r="E17" i="12"/>
  <c r="H17" i="12"/>
  <c r="G15" i="12"/>
  <c r="E15" i="12"/>
  <c r="H15" i="12"/>
  <c r="G13" i="12"/>
  <c r="E13" i="12"/>
  <c r="H13" i="12"/>
  <c r="G10" i="12"/>
  <c r="E10" i="12"/>
  <c r="H10" i="12"/>
  <c r="G7" i="12"/>
  <c r="E7" i="12"/>
  <c r="H7" i="12"/>
  <c r="G30" i="11"/>
  <c r="E30" i="11"/>
  <c r="H30" i="11"/>
  <c r="G27" i="11"/>
  <c r="E27" i="11"/>
  <c r="H27" i="11"/>
  <c r="G25" i="11"/>
  <c r="E25" i="11"/>
  <c r="H25" i="11"/>
  <c r="G23" i="11"/>
  <c r="E23" i="11"/>
  <c r="H23" i="11"/>
  <c r="G20" i="11"/>
  <c r="E20" i="11"/>
  <c r="H20" i="11"/>
  <c r="G17" i="11"/>
  <c r="E17" i="11"/>
  <c r="H17" i="11"/>
  <c r="G15" i="11"/>
  <c r="E15" i="11"/>
  <c r="H15" i="11"/>
  <c r="G13" i="11"/>
  <c r="E13" i="11"/>
  <c r="H13" i="11"/>
  <c r="G10" i="11"/>
  <c r="E10" i="11"/>
  <c r="H10" i="11"/>
  <c r="G7" i="11"/>
  <c r="E7" i="11"/>
  <c r="H7" i="11"/>
  <c r="E30" i="2"/>
  <c r="G30" i="2"/>
  <c r="H30" i="2"/>
  <c r="E27" i="2"/>
  <c r="G27" i="2"/>
  <c r="H27" i="2"/>
  <c r="E25" i="2"/>
  <c r="G25" i="2"/>
  <c r="H25" i="2"/>
  <c r="E23" i="2"/>
  <c r="G23" i="2"/>
  <c r="H23" i="2"/>
  <c r="E20" i="2"/>
  <c r="G20" i="2"/>
  <c r="H20" i="2"/>
  <c r="E17" i="2"/>
  <c r="G17" i="2"/>
  <c r="H17" i="2"/>
  <c r="E15" i="2"/>
  <c r="G15" i="2"/>
  <c r="H15" i="2"/>
  <c r="E13" i="2"/>
  <c r="G13" i="2"/>
  <c r="H13" i="2"/>
  <c r="E10" i="2"/>
  <c r="G10" i="2"/>
  <c r="H10" i="2"/>
  <c r="E7" i="2"/>
  <c r="G7" i="2"/>
  <c r="H7" i="2"/>
  <c r="V27" i="4"/>
  <c r="V23" i="4"/>
  <c r="V17" i="4"/>
  <c r="V13" i="4"/>
  <c r="S8" i="4"/>
  <c r="T7" i="4"/>
  <c r="V7" i="4"/>
  <c r="R7" i="1"/>
  <c r="AA8" i="1"/>
  <c r="AB8" i="1"/>
  <c r="AE8" i="1"/>
  <c r="AH8" i="1"/>
  <c r="AA9" i="1"/>
  <c r="AB9" i="1"/>
  <c r="AE9" i="1"/>
  <c r="AH9" i="1"/>
  <c r="AA13" i="1"/>
  <c r="AB13" i="1"/>
  <c r="AE13" i="1"/>
  <c r="AH13" i="1"/>
  <c r="AA14" i="1"/>
  <c r="AB14" i="1"/>
  <c r="AE14" i="1"/>
  <c r="AH14" i="1"/>
  <c r="AA17" i="1"/>
  <c r="AB17" i="1"/>
  <c r="AE17" i="1"/>
  <c r="AH17" i="1"/>
  <c r="AA18" i="1"/>
  <c r="AB18" i="1"/>
  <c r="AE18" i="1"/>
  <c r="AH18" i="1"/>
  <c r="AA19" i="1"/>
  <c r="AB19" i="1"/>
  <c r="AE19" i="1"/>
  <c r="AH19" i="1"/>
  <c r="AA23" i="1"/>
  <c r="AB23" i="1"/>
  <c r="AE23" i="1"/>
  <c r="AH23" i="1"/>
  <c r="AA24" i="1"/>
  <c r="AB24" i="1"/>
  <c r="AE24" i="1"/>
  <c r="AH24" i="1"/>
  <c r="AA27" i="1"/>
  <c r="AB27" i="1"/>
  <c r="AE27" i="1"/>
  <c r="AH27" i="1"/>
  <c r="AA28" i="1"/>
  <c r="AB28" i="1"/>
  <c r="AE28" i="1"/>
  <c r="AH28" i="1"/>
  <c r="AA29" i="1"/>
  <c r="AB29" i="1"/>
  <c r="AE29" i="1"/>
  <c r="AH29" i="1"/>
  <c r="AA7" i="1"/>
  <c r="AB7" i="1"/>
  <c r="AE7" i="1"/>
  <c r="AH7" i="1"/>
  <c r="AA10" i="1"/>
  <c r="AB10" i="1"/>
  <c r="AA11" i="1"/>
  <c r="AB11" i="1"/>
  <c r="AA12" i="1"/>
  <c r="AB12" i="1"/>
  <c r="AA15" i="1"/>
  <c r="AB15" i="1"/>
  <c r="AA16" i="1"/>
  <c r="AB16" i="1"/>
  <c r="AA20" i="1"/>
  <c r="AB20" i="1"/>
  <c r="AA21" i="1"/>
  <c r="AB21" i="1"/>
  <c r="AA22" i="1"/>
  <c r="AB22" i="1"/>
  <c r="AA25" i="1"/>
  <c r="AB25" i="1"/>
  <c r="AA26" i="1"/>
  <c r="AB26" i="1"/>
  <c r="AB30" i="1"/>
  <c r="AB31" i="1"/>
  <c r="AB32" i="1"/>
  <c r="AJ27" i="1"/>
  <c r="AJ23" i="1"/>
  <c r="AJ17" i="1"/>
  <c r="AJ13" i="1"/>
  <c r="AJ7" i="1"/>
  <c r="AI27" i="1"/>
  <c r="AI23" i="1"/>
  <c r="AI17" i="1"/>
  <c r="AI13" i="1"/>
  <c r="AI7" i="1"/>
  <c r="L5" i="4"/>
  <c r="F5" i="4"/>
  <c r="L6" i="4"/>
  <c r="F6" i="4"/>
  <c r="L7" i="4"/>
  <c r="F7" i="4"/>
  <c r="L9" i="4"/>
  <c r="L13" i="4"/>
  <c r="F13" i="4"/>
  <c r="L14" i="4"/>
  <c r="L17" i="4"/>
  <c r="F17" i="4"/>
  <c r="L18" i="4"/>
  <c r="F18" i="4"/>
  <c r="L19" i="4"/>
  <c r="F19" i="4"/>
  <c r="L23" i="4"/>
  <c r="F23" i="4"/>
  <c r="L24" i="4"/>
  <c r="L27" i="4"/>
  <c r="F27" i="4"/>
  <c r="L28" i="4"/>
  <c r="L29" i="4"/>
  <c r="L4" i="4"/>
  <c r="F4" i="4"/>
  <c r="O4" i="4"/>
  <c r="N17" i="1"/>
  <c r="N18" i="1"/>
  <c r="N19" i="1"/>
  <c r="O17" i="1"/>
  <c r="AG27" i="1"/>
  <c r="AG23" i="1"/>
  <c r="AG17" i="1"/>
  <c r="AG13" i="1"/>
  <c r="AA30" i="1"/>
  <c r="AA31" i="1"/>
  <c r="AA32" i="1"/>
  <c r="AD7" i="1"/>
  <c r="AD8" i="1"/>
  <c r="AD9" i="1"/>
  <c r="AG7" i="1"/>
  <c r="K29" i="1"/>
  <c r="K32" i="1"/>
  <c r="L29" i="1"/>
  <c r="K28" i="1"/>
  <c r="K31" i="1"/>
  <c r="L28" i="1"/>
  <c r="K27" i="1"/>
  <c r="K30" i="1"/>
  <c r="L27" i="1"/>
  <c r="K24" i="1"/>
  <c r="K26" i="1"/>
  <c r="L24" i="1"/>
  <c r="K23" i="1"/>
  <c r="K25" i="1"/>
  <c r="L23" i="1"/>
  <c r="K19" i="1"/>
  <c r="K22" i="1"/>
  <c r="L19" i="1"/>
  <c r="K18" i="1"/>
  <c r="K21" i="1"/>
  <c r="L18" i="1"/>
  <c r="K17" i="1"/>
  <c r="K20" i="1"/>
  <c r="L17" i="1"/>
  <c r="K14" i="1"/>
  <c r="K16" i="1"/>
  <c r="L14" i="1"/>
  <c r="K13" i="1"/>
  <c r="K15" i="1"/>
  <c r="L13" i="1"/>
  <c r="K9" i="1"/>
  <c r="K12" i="1"/>
  <c r="L9" i="1"/>
  <c r="K8" i="1"/>
  <c r="K11" i="1"/>
  <c r="L8" i="1"/>
  <c r="K7" i="1"/>
  <c r="K10" i="1"/>
  <c r="L7" i="1"/>
  <c r="AD27" i="1"/>
  <c r="AD28" i="1"/>
  <c r="AD29" i="1"/>
  <c r="AF27" i="1"/>
  <c r="AD23" i="1"/>
  <c r="AD24" i="1"/>
  <c r="AF23" i="1"/>
  <c r="AD17" i="1"/>
  <c r="AD18" i="1"/>
  <c r="AD19" i="1"/>
  <c r="AF17" i="1"/>
  <c r="AD13" i="1"/>
  <c r="AD14" i="1"/>
  <c r="AF13" i="1"/>
  <c r="AF7" i="1"/>
  <c r="N10" i="1"/>
  <c r="N7" i="1"/>
  <c r="Q7" i="1"/>
  <c r="V7" i="1"/>
  <c r="N11" i="1"/>
  <c r="N8" i="1"/>
  <c r="Q8" i="1"/>
  <c r="V8" i="1"/>
  <c r="N12" i="1"/>
  <c r="N9" i="1"/>
  <c r="Q9" i="1"/>
  <c r="V9" i="1"/>
  <c r="N15" i="1"/>
  <c r="N13" i="1"/>
  <c r="Q13" i="1"/>
  <c r="V13" i="1"/>
  <c r="N16" i="1"/>
  <c r="N14" i="1"/>
  <c r="Q14" i="1"/>
  <c r="V14" i="1"/>
  <c r="N20" i="1"/>
  <c r="Q17" i="1"/>
  <c r="V17" i="1"/>
  <c r="N21" i="1"/>
  <c r="Q18" i="1"/>
  <c r="V18" i="1"/>
  <c r="N22" i="1"/>
  <c r="Q19" i="1"/>
  <c r="V19" i="1"/>
  <c r="N25" i="1"/>
  <c r="N23" i="1"/>
  <c r="Q23" i="1"/>
  <c r="V23" i="1"/>
  <c r="N26" i="1"/>
  <c r="N24" i="1"/>
  <c r="Q24" i="1"/>
  <c r="V24" i="1"/>
  <c r="N30" i="1"/>
  <c r="N27" i="1"/>
  <c r="Q27" i="1"/>
  <c r="V27" i="1"/>
  <c r="N31" i="1"/>
  <c r="N28" i="1"/>
  <c r="Q28" i="1"/>
  <c r="V28" i="1"/>
  <c r="N32" i="1"/>
  <c r="N29" i="1"/>
  <c r="Q29" i="1"/>
  <c r="V29" i="1"/>
  <c r="W8" i="1"/>
  <c r="W9" i="1"/>
  <c r="W7" i="1"/>
  <c r="W13" i="1"/>
  <c r="W14" i="1"/>
  <c r="W17" i="1"/>
  <c r="W18" i="1"/>
  <c r="W19" i="1"/>
  <c r="W23" i="1"/>
  <c r="W24" i="1"/>
  <c r="W27" i="1"/>
  <c r="W28" i="1"/>
  <c r="W29" i="1"/>
  <c r="X7" i="1"/>
  <c r="X8" i="1"/>
  <c r="X9" i="1"/>
  <c r="X13" i="1"/>
  <c r="X14" i="1"/>
  <c r="X17" i="1"/>
  <c r="X18" i="1"/>
  <c r="X19" i="1"/>
  <c r="X23" i="1"/>
  <c r="X24" i="1"/>
  <c r="X27" i="1"/>
  <c r="X28" i="1"/>
  <c r="X29" i="1"/>
  <c r="Y27" i="1"/>
  <c r="Y28" i="1"/>
  <c r="Y29" i="1"/>
  <c r="Y23" i="1"/>
  <c r="Y24" i="1"/>
  <c r="Y17" i="1"/>
  <c r="Y18" i="1"/>
  <c r="Y19" i="1"/>
  <c r="Y13" i="1"/>
  <c r="Y14" i="1"/>
  <c r="Y7" i="1"/>
  <c r="Y8" i="1"/>
  <c r="Y9" i="1"/>
  <c r="N19" i="4"/>
  <c r="N18" i="4"/>
  <c r="N17" i="4"/>
  <c r="I17" i="4"/>
  <c r="S17" i="4"/>
  <c r="S18" i="4"/>
  <c r="S19" i="4"/>
  <c r="U17" i="4"/>
  <c r="T17" i="4"/>
  <c r="G17" i="3"/>
  <c r="J30" i="1"/>
  <c r="J27" i="1"/>
  <c r="J25" i="1"/>
  <c r="J23" i="1"/>
  <c r="J20" i="1"/>
  <c r="J17" i="1"/>
  <c r="J15" i="1"/>
  <c r="J13" i="1"/>
  <c r="J10" i="1"/>
  <c r="J7" i="1"/>
  <c r="I30" i="1"/>
  <c r="I27" i="1"/>
  <c r="I25" i="1"/>
  <c r="I23" i="1"/>
  <c r="I20" i="1"/>
  <c r="I17" i="1"/>
  <c r="I15" i="1"/>
  <c r="I13" i="1"/>
  <c r="I10" i="1"/>
  <c r="I7" i="1"/>
  <c r="F30" i="1"/>
  <c r="E30" i="1"/>
  <c r="F27" i="1"/>
  <c r="F25" i="1"/>
  <c r="E25" i="1"/>
  <c r="F23" i="1"/>
  <c r="F20" i="1"/>
  <c r="F17" i="1"/>
  <c r="F15" i="1"/>
  <c r="F13" i="1"/>
  <c r="F10" i="1"/>
  <c r="F7" i="1"/>
  <c r="S17" i="1"/>
  <c r="R17" i="1"/>
  <c r="E17" i="4"/>
  <c r="E17" i="3"/>
  <c r="E20" i="1"/>
  <c r="E17" i="1"/>
  <c r="E15" i="1"/>
  <c r="E10" i="1"/>
  <c r="E7" i="1"/>
  <c r="O7" i="1"/>
  <c r="P7" i="1"/>
  <c r="S7" i="1"/>
  <c r="AK7" i="1"/>
  <c r="AM7" i="1"/>
  <c r="AN7" i="1"/>
  <c r="AO7" i="1"/>
  <c r="P8" i="1"/>
  <c r="AK8" i="1"/>
  <c r="AM8" i="1"/>
  <c r="AN8" i="1"/>
  <c r="AO8" i="1"/>
  <c r="P9" i="1"/>
  <c r="AK9" i="1"/>
  <c r="AM9" i="1"/>
  <c r="AN9" i="1"/>
  <c r="AO9" i="1"/>
  <c r="O10" i="1"/>
  <c r="P10" i="1"/>
  <c r="AM10" i="1"/>
  <c r="AN10" i="1"/>
  <c r="P11" i="1"/>
  <c r="AM11" i="1"/>
  <c r="AN11" i="1"/>
  <c r="P12" i="1"/>
  <c r="AM12" i="1"/>
  <c r="AN12" i="1"/>
  <c r="E13" i="1"/>
  <c r="O13" i="1"/>
  <c r="P13" i="1"/>
  <c r="R13" i="1"/>
  <c r="S13" i="1"/>
  <c r="AK13" i="1"/>
  <c r="AM13" i="1"/>
  <c r="AN13" i="1"/>
  <c r="AO13" i="1"/>
  <c r="P14" i="1"/>
  <c r="AK14" i="1"/>
  <c r="AM14" i="1"/>
  <c r="AN14" i="1"/>
  <c r="AO14" i="1"/>
  <c r="O15" i="1"/>
  <c r="P15" i="1"/>
  <c r="AM15" i="1"/>
  <c r="AN15" i="1"/>
  <c r="P16" i="1"/>
  <c r="AM16" i="1"/>
  <c r="AN16" i="1"/>
  <c r="P17" i="1"/>
  <c r="AM17" i="1"/>
  <c r="AN17" i="1"/>
  <c r="P18" i="1"/>
  <c r="AM18" i="1"/>
  <c r="AN18" i="1"/>
  <c r="P19" i="1"/>
  <c r="AM19" i="1"/>
  <c r="AN19" i="1"/>
  <c r="O20" i="1"/>
  <c r="P20" i="1"/>
  <c r="AM20" i="1"/>
  <c r="AN20" i="1"/>
  <c r="P21" i="1"/>
  <c r="AM21" i="1"/>
  <c r="AN21" i="1"/>
  <c r="P22" i="1"/>
  <c r="AM22" i="1"/>
  <c r="AN22" i="1"/>
  <c r="E23" i="1"/>
  <c r="O23" i="1"/>
  <c r="P23" i="1"/>
  <c r="R23" i="1"/>
  <c r="S23" i="1"/>
  <c r="AK23" i="1"/>
  <c r="AM23" i="1"/>
  <c r="AN23" i="1"/>
  <c r="AO23" i="1"/>
  <c r="P24" i="1"/>
  <c r="AK24" i="1"/>
  <c r="AM24" i="1"/>
  <c r="AN24" i="1"/>
  <c r="AO24" i="1"/>
  <c r="O25" i="1"/>
  <c r="P25" i="1"/>
  <c r="AM25" i="1"/>
  <c r="AN25" i="1"/>
  <c r="P26" i="1"/>
  <c r="AM26" i="1"/>
  <c r="AN26" i="1"/>
  <c r="E27" i="1"/>
  <c r="O27" i="1"/>
  <c r="P27" i="1"/>
  <c r="R27" i="1"/>
  <c r="S27" i="1"/>
  <c r="AK27" i="1"/>
  <c r="AM27" i="1"/>
  <c r="AN27" i="1"/>
  <c r="AO27" i="1"/>
  <c r="P28" i="1"/>
  <c r="AK28" i="1"/>
  <c r="AM28" i="1"/>
  <c r="AN28" i="1"/>
  <c r="AO28" i="1"/>
  <c r="P29" i="1"/>
  <c r="AK29" i="1"/>
  <c r="AM29" i="1"/>
  <c r="AN29" i="1"/>
  <c r="AO29" i="1"/>
  <c r="O30" i="1"/>
  <c r="P30" i="1"/>
  <c r="AM30" i="1"/>
  <c r="AN30" i="1"/>
  <c r="P31" i="1"/>
  <c r="AM31" i="1"/>
  <c r="AN31" i="1"/>
  <c r="P32" i="1"/>
  <c r="AM32" i="1"/>
  <c r="AN32" i="1"/>
  <c r="N29" i="4"/>
  <c r="N28" i="4"/>
  <c r="N24" i="4"/>
  <c r="N14" i="4"/>
  <c r="N9" i="4"/>
  <c r="N8" i="4"/>
  <c r="N5" i="4"/>
  <c r="N6" i="4"/>
  <c r="N7" i="4"/>
  <c r="N13" i="4"/>
  <c r="N23" i="4"/>
  <c r="N27" i="4"/>
  <c r="N4" i="4"/>
  <c r="L10" i="4"/>
  <c r="L11" i="4"/>
  <c r="L12" i="4"/>
  <c r="L15" i="4"/>
  <c r="L16" i="4"/>
  <c r="L20" i="4"/>
  <c r="L21" i="4"/>
  <c r="L22" i="4"/>
  <c r="L25" i="4"/>
  <c r="L26" i="4"/>
  <c r="L30" i="4"/>
  <c r="L31" i="4"/>
  <c r="L32" i="4"/>
  <c r="F8" i="4"/>
  <c r="F9" i="4"/>
  <c r="F10" i="4"/>
  <c r="F11" i="4"/>
  <c r="F12" i="4"/>
  <c r="F14" i="4"/>
  <c r="F15" i="4"/>
  <c r="F16" i="4"/>
  <c r="F20" i="4"/>
  <c r="F21" i="4"/>
  <c r="F22" i="4"/>
  <c r="F24" i="4"/>
  <c r="F25" i="4"/>
  <c r="F26" i="4"/>
  <c r="F28" i="4"/>
  <c r="F29" i="4"/>
  <c r="F30" i="4"/>
  <c r="F31" i="4"/>
  <c r="F32" i="4"/>
  <c r="S27" i="4"/>
  <c r="S28" i="4"/>
  <c r="S29" i="4"/>
  <c r="U27" i="4"/>
  <c r="S23" i="4"/>
  <c r="S24" i="4"/>
  <c r="U23" i="4"/>
  <c r="S13" i="4"/>
  <c r="S14" i="4"/>
  <c r="U13" i="4"/>
  <c r="S7" i="4"/>
  <c r="S9" i="4"/>
  <c r="U7" i="4"/>
  <c r="S4" i="4"/>
  <c r="S5" i="4"/>
  <c r="S6" i="4"/>
  <c r="U4" i="4"/>
  <c r="T27" i="4"/>
  <c r="T23" i="4"/>
  <c r="T13" i="4"/>
  <c r="T4" i="4"/>
  <c r="I27" i="4"/>
  <c r="I23" i="4"/>
  <c r="I13" i="4"/>
  <c r="I7" i="4"/>
  <c r="I4" i="4"/>
  <c r="G30" i="3"/>
  <c r="G27" i="3"/>
  <c r="G25" i="3"/>
  <c r="G23" i="3"/>
  <c r="G20" i="3"/>
  <c r="G15" i="3"/>
  <c r="G13" i="3"/>
  <c r="G10" i="3"/>
  <c r="G7" i="3"/>
  <c r="G4" i="3"/>
  <c r="E30" i="3"/>
  <c r="E27" i="3"/>
  <c r="E25" i="3"/>
  <c r="E23" i="3"/>
  <c r="E20" i="3"/>
  <c r="E15" i="3"/>
  <c r="E13" i="3"/>
  <c r="E7" i="3"/>
  <c r="E4" i="3"/>
  <c r="E4" i="4"/>
</calcChain>
</file>

<file path=xl/sharedStrings.xml><?xml version="1.0" encoding="utf-8"?>
<sst xmlns="http://schemas.openxmlformats.org/spreadsheetml/2006/main" count="368" uniqueCount="80">
  <si>
    <t>Abundance Change</t>
  </si>
  <si>
    <t>Time</t>
  </si>
  <si>
    <t>Treatment</t>
  </si>
  <si>
    <t>cell/ml</t>
  </si>
  <si>
    <t>Predator Only</t>
  </si>
  <si>
    <t>Pred + Prey A</t>
  </si>
  <si>
    <t>Prey A</t>
  </si>
  <si>
    <t>Pred + Prey B</t>
  </si>
  <si>
    <t>Prey B</t>
  </si>
  <si>
    <t>Pred + Prey C</t>
  </si>
  <si>
    <t>Prey C</t>
  </si>
  <si>
    <t>Pred + Prey D</t>
  </si>
  <si>
    <t>Prey D</t>
  </si>
  <si>
    <t>Pred + Prey E</t>
  </si>
  <si>
    <t>Prey E</t>
  </si>
  <si>
    <t>ehux</t>
  </si>
  <si>
    <t>omar</t>
  </si>
  <si>
    <t>average</t>
  </si>
  <si>
    <t>Rep</t>
  </si>
  <si>
    <t>Side Scatter</t>
  </si>
  <si>
    <t>SSC</t>
  </si>
  <si>
    <t>fv/fm</t>
  </si>
  <si>
    <t>Average</t>
  </si>
  <si>
    <t>t = 0</t>
  </si>
  <si>
    <t>t = 48</t>
  </si>
  <si>
    <t>Growth Rate</t>
  </si>
  <si>
    <t>Grazing Rate</t>
  </si>
  <si>
    <t>Tube #</t>
  </si>
  <si>
    <t>growth rate</t>
  </si>
  <si>
    <t>stdev</t>
  </si>
  <si>
    <t>per h</t>
  </si>
  <si>
    <t>k-g</t>
  </si>
  <si>
    <t>average preds</t>
  </si>
  <si>
    <t>&lt;C&gt; from frost</t>
  </si>
  <si>
    <t>prey ingest</t>
  </si>
  <si>
    <t>pred produced</t>
  </si>
  <si>
    <t>prey carbon</t>
  </si>
  <si>
    <t>pred carbon</t>
  </si>
  <si>
    <t>GGE</t>
  </si>
  <si>
    <t>k-g*2</t>
  </si>
  <si>
    <t>F</t>
  </si>
  <si>
    <t>(e^(k-g*2))-1</t>
  </si>
  <si>
    <t>average IR</t>
  </si>
  <si>
    <t>stdev IR</t>
  </si>
  <si>
    <t>difference</t>
  </si>
  <si>
    <t>IR (2)</t>
  </si>
  <si>
    <t>CR</t>
  </si>
  <si>
    <t>Av. CR</t>
  </si>
  <si>
    <t>Stdev CR</t>
  </si>
  <si>
    <t>net growth</t>
  </si>
  <si>
    <t>Forward Scatter</t>
  </si>
  <si>
    <t>FSC</t>
  </si>
  <si>
    <t>Red Fluoro</t>
  </si>
  <si>
    <t>Red</t>
  </si>
  <si>
    <t>DMSP - Test</t>
  </si>
  <si>
    <t>Standard Curve</t>
  </si>
  <si>
    <t>nM</t>
  </si>
  <si>
    <t>Ret Time</t>
  </si>
  <si>
    <t>Area</t>
  </si>
  <si>
    <t>SQRT(Area)</t>
  </si>
  <si>
    <t>w/out pred</t>
  </si>
  <si>
    <t>w/pred</t>
  </si>
  <si>
    <t>Biovolume</t>
  </si>
  <si>
    <t>dilution</t>
  </si>
  <si>
    <t>#</t>
  </si>
  <si>
    <t>Ret time</t>
  </si>
  <si>
    <t>SQRT(par)</t>
  </si>
  <si>
    <t>nM(par)</t>
  </si>
  <si>
    <t>cells/ml</t>
  </si>
  <si>
    <t>cells</t>
  </si>
  <si>
    <t>nmol</t>
  </si>
  <si>
    <t>nmol/cell</t>
  </si>
  <si>
    <t>fmol/cell</t>
  </si>
  <si>
    <t>biovolume</t>
  </si>
  <si>
    <t>nmol/ml</t>
  </si>
  <si>
    <t>nmol/l</t>
  </si>
  <si>
    <t>mM</t>
  </si>
  <si>
    <t>Prey Only</t>
  </si>
  <si>
    <t>Pred + Prey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</si>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</sst>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79646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3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Font="1" applyBorder="1" applyAlignment="1">
      <alignment horizontal="right" shrinkToFit="1"/>
    </xf>
    <xf numFmtId="0" fontId="0" fillId="2" borderId="1" xfId="0" applyFont="1" applyFill="1" applyBorder="1" applyAlignment="1">
      <alignment horizontal="right" shrinkToFit="1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0" borderId="1" xfId="0" applyNumberFormat="1" applyBorder="1"/>
    <xf numFmtId="1" fontId="0" fillId="2" borderId="1" xfId="0" applyNumberFormat="1" applyFill="1" applyBorder="1"/>
    <xf numFmtId="0" fontId="3" fillId="0" borderId="0" xfId="0" applyFont="1"/>
    <xf numFmtId="0" fontId="3" fillId="3" borderId="2" xfId="0" applyFont="1" applyFill="1" applyBorder="1"/>
    <xf numFmtId="0" fontId="3" fillId="3" borderId="4" xfId="0" applyFont="1" applyFill="1" applyBorder="1"/>
    <xf numFmtId="0" fontId="3" fillId="0" borderId="4" xfId="0" applyFont="1" applyBorder="1"/>
    <xf numFmtId="0" fontId="0" fillId="0" borderId="1" xfId="0" applyFill="1" applyBorder="1"/>
    <xf numFmtId="0" fontId="0" fillId="0" borderId="1" xfId="0" applyFont="1" applyFill="1" applyBorder="1" applyAlignment="1">
      <alignment horizontal="right" shrinkToFit="1"/>
    </xf>
    <xf numFmtId="0" fontId="0" fillId="0" borderId="0" xfId="0" applyFill="1"/>
    <xf numFmtId="0" fontId="0" fillId="2" borderId="2" xfId="0" applyFill="1" applyBorder="1"/>
    <xf numFmtId="0" fontId="0" fillId="0" borderId="2" xfId="0" applyBorder="1"/>
    <xf numFmtId="0" fontId="0" fillId="0" borderId="0" xfId="0" applyFill="1" applyBorder="1"/>
    <xf numFmtId="0" fontId="0" fillId="2" borderId="6" xfId="0" applyFont="1" applyFill="1" applyBorder="1" applyAlignment="1">
      <alignment horizontal="right" shrinkToFit="1"/>
    </xf>
    <xf numFmtId="0" fontId="0" fillId="2" borderId="5" xfId="0" applyFont="1" applyFill="1" applyBorder="1" applyAlignment="1">
      <alignment horizontal="right" shrinkToFit="1"/>
    </xf>
    <xf numFmtId="0" fontId="0" fillId="0" borderId="5" xfId="0" applyFont="1" applyBorder="1" applyAlignment="1">
      <alignment horizontal="right" shrinkToFit="1"/>
    </xf>
    <xf numFmtId="0" fontId="0" fillId="0" borderId="7" xfId="0" applyBorder="1"/>
    <xf numFmtId="0" fontId="3" fillId="2" borderId="4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 shrinkToFit="1"/>
    </xf>
    <xf numFmtId="0" fontId="3" fillId="3" borderId="3" xfId="0" applyFont="1" applyFill="1" applyBorder="1" applyAlignment="1">
      <alignment horizontal="right" shrinkToFit="1"/>
    </xf>
    <xf numFmtId="0" fontId="3" fillId="2" borderId="3" xfId="0" applyFont="1" applyFill="1" applyBorder="1" applyAlignment="1">
      <alignment horizontal="right" shrinkToFit="1"/>
    </xf>
    <xf numFmtId="0" fontId="0" fillId="0" borderId="0" xfId="0" applyAlignment="1">
      <alignment horizontal="center"/>
    </xf>
    <xf numFmtId="165" fontId="0" fillId="2" borderId="1" xfId="0" applyNumberFormat="1" applyFill="1" applyBorder="1"/>
    <xf numFmtId="1" fontId="0" fillId="0" borderId="1" xfId="0" applyNumberFormat="1" applyFill="1" applyBorder="1"/>
    <xf numFmtId="164" fontId="0" fillId="0" borderId="1" xfId="0" applyNumberFormat="1" applyFill="1" applyBorder="1" applyAlignment="1">
      <alignment horizontal="right"/>
    </xf>
    <xf numFmtId="0" fontId="5" fillId="0" borderId="0" xfId="0" applyFont="1"/>
    <xf numFmtId="164" fontId="3" fillId="3" borderId="2" xfId="0" applyNumberFormat="1" applyFont="1" applyFill="1" applyBorder="1"/>
    <xf numFmtId="164" fontId="3" fillId="3" borderId="4" xfId="0" applyNumberFormat="1" applyFont="1" applyFill="1" applyBorder="1"/>
    <xf numFmtId="164" fontId="0" fillId="0" borderId="4" xfId="0" applyNumberFormat="1" applyBorder="1"/>
    <xf numFmtId="164" fontId="3" fillId="0" borderId="4" xfId="0" applyNumberFormat="1" applyFont="1" applyBorder="1"/>
    <xf numFmtId="164" fontId="3" fillId="2" borderId="4" xfId="0" applyNumberFormat="1" applyFont="1" applyFill="1" applyBorder="1"/>
    <xf numFmtId="164" fontId="3" fillId="0" borderId="4" xfId="0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5" fillId="0" borderId="1" xfId="0" applyFont="1" applyFill="1" applyBorder="1"/>
    <xf numFmtId="0" fontId="3" fillId="0" borderId="0" xfId="0" applyFont="1" applyAlignment="1">
      <alignment horizontal="right"/>
    </xf>
    <xf numFmtId="0" fontId="6" fillId="4" borderId="1" xfId="0" applyFont="1" applyFill="1" applyBorder="1"/>
    <xf numFmtId="0" fontId="6" fillId="4" borderId="2" xfId="0" applyFont="1" applyFill="1" applyBorder="1"/>
    <xf numFmtId="11" fontId="3" fillId="0" borderId="0" xfId="0" applyNumberFormat="1" applyFont="1"/>
    <xf numFmtId="0" fontId="6" fillId="0" borderId="7" xfId="0" applyFont="1" applyBorder="1"/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 shrinkToFit="1"/>
    </xf>
    <xf numFmtId="0" fontId="3" fillId="3" borderId="7" xfId="0" applyFont="1" applyFill="1" applyBorder="1" applyAlignment="1">
      <alignment horizontal="right" shrinkToFit="1"/>
    </xf>
    <xf numFmtId="0" fontId="3" fillId="3" borderId="6" xfId="0" applyFont="1" applyFill="1" applyBorder="1" applyAlignment="1">
      <alignment horizontal="right" shrinkToFit="1"/>
    </xf>
    <xf numFmtId="0" fontId="3" fillId="3" borderId="3" xfId="0" applyFont="1" applyFill="1" applyBorder="1"/>
    <xf numFmtId="0" fontId="6" fillId="4" borderId="4" xfId="0" applyFont="1" applyFill="1" applyBorder="1"/>
    <xf numFmtId="11" fontId="3" fillId="3" borderId="4" xfId="0" applyNumberFormat="1" applyFont="1" applyFill="1" applyBorder="1"/>
    <xf numFmtId="0" fontId="6" fillId="5" borderId="4" xfId="0" applyFont="1" applyFill="1" applyBorder="1"/>
    <xf numFmtId="0" fontId="3" fillId="3" borderId="0" xfId="0" applyFont="1" applyFill="1"/>
    <xf numFmtId="0" fontId="3" fillId="0" borderId="4" xfId="0" applyFont="1" applyBorder="1" applyAlignment="1">
      <alignment horizontal="right" shrinkToFit="1"/>
    </xf>
    <xf numFmtId="0" fontId="3" fillId="0" borderId="7" xfId="0" applyFont="1" applyBorder="1" applyAlignment="1">
      <alignment horizontal="right" shrinkToFit="1"/>
    </xf>
    <xf numFmtId="0" fontId="3" fillId="0" borderId="6" xfId="0" applyFont="1" applyBorder="1" applyAlignment="1">
      <alignment horizontal="right" shrinkToFit="1"/>
    </xf>
    <xf numFmtId="11" fontId="3" fillId="0" borderId="4" xfId="0" applyNumberFormat="1" applyFont="1" applyBorder="1"/>
    <xf numFmtId="0" fontId="3" fillId="0" borderId="8" xfId="0" applyFont="1" applyBorder="1" applyAlignment="1">
      <alignment horizontal="right" shrinkToFit="1"/>
    </xf>
    <xf numFmtId="0" fontId="3" fillId="0" borderId="9" xfId="0" applyFont="1" applyBorder="1" applyAlignment="1">
      <alignment horizontal="right" shrinkToFit="1"/>
    </xf>
    <xf numFmtId="0" fontId="3" fillId="0" borderId="10" xfId="0" applyFont="1" applyBorder="1" applyAlignment="1">
      <alignment horizontal="right" shrinkToFit="1"/>
    </xf>
    <xf numFmtId="0" fontId="3" fillId="0" borderId="11" xfId="0" applyFont="1" applyBorder="1" applyAlignment="1">
      <alignment horizontal="right" shrinkToFit="1"/>
    </xf>
    <xf numFmtId="0" fontId="3" fillId="0" borderId="9" xfId="0" applyFont="1" applyBorder="1"/>
    <xf numFmtId="0" fontId="6" fillId="4" borderId="9" xfId="0" applyFont="1" applyFill="1" applyBorder="1"/>
    <xf numFmtId="11" fontId="3" fillId="0" borderId="9" xfId="0" applyNumberFormat="1" applyFont="1" applyBorder="1"/>
    <xf numFmtId="0" fontId="6" fillId="5" borderId="9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"/>
  <sheetViews>
    <sheetView workbookViewId="0">
      <selection activeCell="M7" sqref="M7"/>
    </sheetView>
  </sheetViews>
  <sheetFormatPr baseColWidth="10" defaultRowHeight="15" x14ac:dyDescent="0"/>
  <cols>
    <col min="2" max="2" width="15.6640625" customWidth="1"/>
    <col min="3" max="3" width="5" customWidth="1"/>
    <col min="14" max="14" width="11.6640625" customWidth="1"/>
    <col min="17" max="17" width="11.83203125" customWidth="1"/>
    <col min="23" max="23" width="12.1640625" bestFit="1" customWidth="1"/>
    <col min="24" max="24" width="12.1640625" customWidth="1"/>
    <col min="25" max="28" width="13" customWidth="1"/>
    <col min="29" max="31" width="12.33203125" customWidth="1"/>
    <col min="38" max="38" width="12.83203125" customWidth="1"/>
  </cols>
  <sheetData>
    <row r="1" spans="1:41">
      <c r="A1" t="s">
        <v>0</v>
      </c>
      <c r="D1" t="s">
        <v>23</v>
      </c>
      <c r="H1" t="s">
        <v>24</v>
      </c>
    </row>
    <row r="2" spans="1:41">
      <c r="D2" t="s">
        <v>15</v>
      </c>
      <c r="H2" t="s">
        <v>15</v>
      </c>
      <c r="N2" t="s">
        <v>25</v>
      </c>
      <c r="O2" s="32" t="s">
        <v>22</v>
      </c>
      <c r="Q2" t="s">
        <v>26</v>
      </c>
    </row>
    <row r="3" spans="1:41">
      <c r="A3" t="s">
        <v>1</v>
      </c>
      <c r="B3" t="s">
        <v>2</v>
      </c>
      <c r="C3" t="s">
        <v>18</v>
      </c>
      <c r="D3" t="s">
        <v>3</v>
      </c>
      <c r="E3" t="s">
        <v>17</v>
      </c>
      <c r="F3" t="s">
        <v>29</v>
      </c>
      <c r="H3" t="s">
        <v>3</v>
      </c>
      <c r="I3" t="s">
        <v>17</v>
      </c>
      <c r="J3" t="s">
        <v>29</v>
      </c>
      <c r="P3" t="s">
        <v>30</v>
      </c>
      <c r="R3" s="32" t="s">
        <v>22</v>
      </c>
      <c r="V3" t="s">
        <v>31</v>
      </c>
      <c r="W3" t="s">
        <v>41</v>
      </c>
      <c r="X3" t="s">
        <v>39</v>
      </c>
      <c r="Y3" t="s">
        <v>33</v>
      </c>
      <c r="Z3" t="s">
        <v>44</v>
      </c>
      <c r="AC3" t="s">
        <v>32</v>
      </c>
      <c r="AD3" t="s">
        <v>40</v>
      </c>
      <c r="AE3" t="s">
        <v>45</v>
      </c>
      <c r="AF3" s="32" t="s">
        <v>42</v>
      </c>
      <c r="AG3" s="32" t="s">
        <v>43</v>
      </c>
      <c r="AH3" s="32" t="s">
        <v>46</v>
      </c>
      <c r="AI3" s="32" t="s">
        <v>47</v>
      </c>
      <c r="AJ3" s="32" t="s">
        <v>48</v>
      </c>
      <c r="AK3" t="s">
        <v>34</v>
      </c>
      <c r="AL3" t="s">
        <v>35</v>
      </c>
      <c r="AM3" t="s">
        <v>36</v>
      </c>
      <c r="AN3" t="s">
        <v>37</v>
      </c>
      <c r="AO3" t="s">
        <v>38</v>
      </c>
    </row>
    <row r="4" spans="1:41" s="4" customFormat="1">
      <c r="A4" s="4">
        <v>0</v>
      </c>
      <c r="B4" s="5" t="s">
        <v>4</v>
      </c>
      <c r="C4" s="4">
        <v>1</v>
      </c>
      <c r="AL4" s="7"/>
    </row>
    <row r="5" spans="1:41" s="4" customFormat="1">
      <c r="A5" s="4">
        <v>0</v>
      </c>
      <c r="B5" s="5" t="s">
        <v>4</v>
      </c>
      <c r="C5" s="4">
        <v>2</v>
      </c>
      <c r="AL5" s="7"/>
    </row>
    <row r="6" spans="1:41" s="4" customFormat="1">
      <c r="A6" s="4">
        <v>0</v>
      </c>
      <c r="B6" s="5" t="s">
        <v>4</v>
      </c>
      <c r="C6" s="4">
        <v>3</v>
      </c>
      <c r="AL6" s="7"/>
    </row>
    <row r="7" spans="1:41" s="12" customFormat="1">
      <c r="A7" s="12">
        <v>0</v>
      </c>
      <c r="B7" s="13" t="s">
        <v>5</v>
      </c>
      <c r="C7" s="12">
        <v>1</v>
      </c>
      <c r="D7" s="12">
        <v>5993</v>
      </c>
      <c r="E7" s="12">
        <f>AVERAGE(D7:D9)</f>
        <v>5799.333333333333</v>
      </c>
      <c r="F7" s="12">
        <f>STDEV(D7:D9)</f>
        <v>256.0709537087979</v>
      </c>
      <c r="H7" s="12">
        <v>1478</v>
      </c>
      <c r="I7" s="12">
        <f>AVERAGE(H7:H9)</f>
        <v>1499.6666666666667</v>
      </c>
      <c r="J7" s="12">
        <f>STDEV(H7:H9)</f>
        <v>251.20177812534189</v>
      </c>
      <c r="K7" s="12">
        <f>D7-H7</f>
        <v>4515</v>
      </c>
      <c r="L7" s="12">
        <f>K7-K10</f>
        <v>5202</v>
      </c>
      <c r="M7" s="12">
        <f>L7*14.4</f>
        <v>74908.800000000003</v>
      </c>
      <c r="N7" s="12">
        <f t="shared" ref="N7:N19" si="0">((LN(H7/D7))/(2-0))</f>
        <v>-0.69995114947501902</v>
      </c>
      <c r="O7" s="41">
        <f>AVERAGE(N7:N9)</f>
        <v>-0.68059433697503291</v>
      </c>
      <c r="P7" s="12">
        <f>N7/24</f>
        <v>-2.9164631228125792E-2</v>
      </c>
      <c r="Q7" s="12">
        <f>N10-N7</f>
        <v>0.7625270132220433</v>
      </c>
      <c r="R7" s="12">
        <f>AVERAGE(Q7:Q9)</f>
        <v>0.73731664343276648</v>
      </c>
      <c r="S7" s="12">
        <f>STDEV(Q7:Q9)</f>
        <v>9.4777149337608349E-2</v>
      </c>
      <c r="V7" s="31">
        <f>N10-Q7</f>
        <v>-0.69995114947501902</v>
      </c>
      <c r="W7" s="12">
        <f>(EXP(V7*2)-1)</f>
        <v>-0.7533789420991156</v>
      </c>
      <c r="X7" s="12">
        <f>V7*2</f>
        <v>-1.399902298950038</v>
      </c>
      <c r="Y7" s="30">
        <f>(D7*W7)/X7</f>
        <v>3225.2250770545656</v>
      </c>
      <c r="Z7" s="12">
        <v>5202</v>
      </c>
      <c r="AA7" s="12">
        <f>Z7/2</f>
        <v>2601</v>
      </c>
      <c r="AB7" s="12">
        <f>AA7*320</f>
        <v>832320</v>
      </c>
      <c r="AC7" s="7">
        <v>70400</v>
      </c>
      <c r="AD7" s="12">
        <f>320/AC7</f>
        <v>4.5454545454545452E-3</v>
      </c>
      <c r="AE7" s="12">
        <f>AB7/AC7</f>
        <v>11.822727272727272</v>
      </c>
      <c r="AF7" s="12">
        <f>AVERAGE(AE7:AE9)</f>
        <v>10.16671962788984</v>
      </c>
      <c r="AG7" s="12">
        <f>STDEV(AE7:AE9)</f>
        <v>2.0188140897430853</v>
      </c>
      <c r="AH7" s="12">
        <f>(AE7/D7)*1000</f>
        <v>1.9727560942311484</v>
      </c>
      <c r="AI7" s="12">
        <f>AVERAGE(AH7:AH9)</f>
        <v>1.7562555115901965</v>
      </c>
      <c r="AJ7" s="12">
        <f>STDEV(AH7:AH9)</f>
        <v>0.35809395859659676</v>
      </c>
      <c r="AK7" s="12">
        <f>G7-K7</f>
        <v>-4515</v>
      </c>
      <c r="AL7" s="7">
        <v>43840</v>
      </c>
      <c r="AM7" s="12">
        <f>AK7*21.7</f>
        <v>-97975.5</v>
      </c>
      <c r="AN7" s="12">
        <f>AL7*469.48</f>
        <v>20582003.199999999</v>
      </c>
      <c r="AO7" s="12">
        <f>(AN7/AM7)*100</f>
        <v>-21007.295905609055</v>
      </c>
    </row>
    <row r="8" spans="1:41" s="12" customFormat="1">
      <c r="A8" s="12">
        <v>0</v>
      </c>
      <c r="B8" s="13" t="s">
        <v>5</v>
      </c>
      <c r="C8" s="12">
        <v>2</v>
      </c>
      <c r="D8" s="12">
        <v>5896</v>
      </c>
      <c r="H8" s="12">
        <v>1761</v>
      </c>
      <c r="K8" s="12">
        <f t="shared" ref="K8:K32" si="1">D8-H8</f>
        <v>4135</v>
      </c>
      <c r="L8" s="12">
        <f>K8-K11</f>
        <v>4434</v>
      </c>
      <c r="M8" s="12">
        <f t="shared" ref="M8:M32" si="2">L8*14.4</f>
        <v>63849.599999999999</v>
      </c>
      <c r="N8" s="12">
        <f t="shared" si="0"/>
        <v>-0.60419616268648324</v>
      </c>
      <c r="P8" s="12">
        <f t="shared" ref="P8:P32" si="3">N8/24</f>
        <v>-2.5174840111936801E-2</v>
      </c>
      <c r="Q8" s="12">
        <f>N11-N8</f>
        <v>0.63248328508836649</v>
      </c>
      <c r="V8" s="31">
        <f>N11-Q8</f>
        <v>-0.60419616268648324</v>
      </c>
      <c r="W8" s="12">
        <f t="shared" ref="W8:W9" si="4">(EXP(V8*2)-1)</f>
        <v>-0.70132293080054275</v>
      </c>
      <c r="X8" s="12">
        <f>V8*2</f>
        <v>-1.2083923253729665</v>
      </c>
      <c r="Y8" s="30">
        <f>(D8*W8)/X8</f>
        <v>3421.9019048501036</v>
      </c>
      <c r="Z8" s="12">
        <v>4434</v>
      </c>
      <c r="AA8" s="12">
        <f t="shared" ref="AA8:AA32" si="5">Z8/2</f>
        <v>2217</v>
      </c>
      <c r="AB8" s="12">
        <f t="shared" ref="AB8:AB32" si="6">AA8*320</f>
        <v>709440</v>
      </c>
      <c r="AC8" s="7">
        <v>89600</v>
      </c>
      <c r="AD8" s="12">
        <f t="shared" ref="AD8:AD29" si="7">320/AC8</f>
        <v>3.5714285714285713E-3</v>
      </c>
      <c r="AE8" s="12">
        <f t="shared" ref="AE8:AE29" si="8">AB8/AC8</f>
        <v>7.9178571428571427</v>
      </c>
      <c r="AH8" s="12">
        <f t="shared" ref="AH8:AH29" si="9">(AE8/D8)*1000</f>
        <v>1.3429201395619306</v>
      </c>
      <c r="AK8" s="12">
        <f>G8-K8</f>
        <v>-4135</v>
      </c>
      <c r="AL8" s="7">
        <v>115840</v>
      </c>
      <c r="AM8" s="12">
        <f t="shared" ref="AM8:AM32" si="10">AK8*21.7</f>
        <v>-89729.5</v>
      </c>
      <c r="AN8" s="12">
        <f t="shared" ref="AN8:AN32" si="11">AL8*469.48</f>
        <v>54384563.200000003</v>
      </c>
      <c r="AO8" s="12">
        <f t="shared" ref="AO8:AO29" si="12">(AN8/AM8)*100</f>
        <v>-60609.457536261769</v>
      </c>
    </row>
    <row r="9" spans="1:41" s="12" customFormat="1">
      <c r="A9" s="12">
        <v>0</v>
      </c>
      <c r="B9" s="13" t="s">
        <v>5</v>
      </c>
      <c r="C9" s="12">
        <v>3</v>
      </c>
      <c r="D9" s="12">
        <v>5509</v>
      </c>
      <c r="H9" s="12">
        <v>1260</v>
      </c>
      <c r="K9" s="12">
        <f t="shared" si="1"/>
        <v>4249</v>
      </c>
      <c r="L9" s="12">
        <f>K9-K12</f>
        <v>5057</v>
      </c>
      <c r="M9" s="12">
        <f t="shared" si="2"/>
        <v>72820.800000000003</v>
      </c>
      <c r="N9" s="12">
        <f t="shared" si="0"/>
        <v>-0.73763569876359647</v>
      </c>
      <c r="P9" s="12">
        <f t="shared" si="3"/>
        <v>-3.0734820781816521E-2</v>
      </c>
      <c r="Q9" s="12">
        <f>N12-N9</f>
        <v>0.81693963198788944</v>
      </c>
      <c r="V9" s="31">
        <f>N12-Q9</f>
        <v>-0.73763569876359647</v>
      </c>
      <c r="W9" s="12">
        <f t="shared" si="4"/>
        <v>-0.77128335451080055</v>
      </c>
      <c r="X9" s="12">
        <f>V9*2</f>
        <v>-1.4752713975271929</v>
      </c>
      <c r="Y9" s="30">
        <f>(D9*W9)/X9</f>
        <v>2880.1480236938442</v>
      </c>
      <c r="Z9" s="12">
        <v>5057</v>
      </c>
      <c r="AA9" s="12">
        <f t="shared" si="5"/>
        <v>2528.5</v>
      </c>
      <c r="AB9" s="12">
        <f t="shared" si="6"/>
        <v>809120</v>
      </c>
      <c r="AC9" s="7">
        <v>75200</v>
      </c>
      <c r="AD9" s="12">
        <f t="shared" si="7"/>
        <v>4.2553191489361703E-3</v>
      </c>
      <c r="AE9" s="12">
        <f t="shared" si="8"/>
        <v>10.759574468085106</v>
      </c>
      <c r="AH9" s="12">
        <f t="shared" si="9"/>
        <v>1.9530903009775105</v>
      </c>
      <c r="AK9" s="12">
        <f>G9-K9</f>
        <v>-4249</v>
      </c>
      <c r="AL9" s="7">
        <v>80000</v>
      </c>
      <c r="AM9" s="12">
        <f t="shared" si="10"/>
        <v>-92203.3</v>
      </c>
      <c r="AN9" s="12">
        <f t="shared" si="11"/>
        <v>37558400</v>
      </c>
      <c r="AO9" s="12">
        <f t="shared" si="12"/>
        <v>-40734.333803670801</v>
      </c>
    </row>
    <row r="10" spans="1:41" s="4" customFormat="1">
      <c r="A10" s="4">
        <v>0</v>
      </c>
      <c r="B10" s="2" t="s">
        <v>6</v>
      </c>
      <c r="C10" s="4">
        <v>1</v>
      </c>
      <c r="D10" s="12">
        <v>5153</v>
      </c>
      <c r="E10" s="4">
        <f>AVERAGE(D10:D12)</f>
        <v>4997</v>
      </c>
      <c r="F10" s="4">
        <f>STDEV(D10:D12)</f>
        <v>256.46832163056706</v>
      </c>
      <c r="H10" s="4">
        <v>5840</v>
      </c>
      <c r="I10" s="4">
        <f>AVERAGE(H10:H12)</f>
        <v>5595</v>
      </c>
      <c r="J10" s="4">
        <f>STDEV(H10:H12)</f>
        <v>215.2928238469643</v>
      </c>
      <c r="K10" s="12">
        <f t="shared" si="1"/>
        <v>-687</v>
      </c>
      <c r="L10" s="12"/>
      <c r="M10" s="12">
        <f t="shared" si="2"/>
        <v>0</v>
      </c>
      <c r="N10" s="4">
        <f t="shared" si="0"/>
        <v>6.2575863747024243E-2</v>
      </c>
      <c r="O10" s="4">
        <f>AVERAGE(N10:N12)</f>
        <v>5.6722306457733483E-2</v>
      </c>
      <c r="P10" s="4">
        <f t="shared" si="3"/>
        <v>2.6073276561260103E-3</v>
      </c>
      <c r="V10" s="31"/>
      <c r="W10" s="12"/>
      <c r="X10" s="12"/>
      <c r="Y10" s="30"/>
      <c r="Z10" s="12"/>
      <c r="AA10" s="12">
        <f t="shared" si="5"/>
        <v>0</v>
      </c>
      <c r="AB10" s="12">
        <f t="shared" si="6"/>
        <v>0</v>
      </c>
      <c r="AD10" s="12"/>
      <c r="AE10" s="12"/>
      <c r="AF10" s="12"/>
      <c r="AG10" s="12"/>
      <c r="AH10" s="12"/>
      <c r="AI10" s="12"/>
      <c r="AJ10" s="12"/>
      <c r="AL10" s="7">
        <v>0</v>
      </c>
      <c r="AM10" s="4">
        <f t="shared" si="10"/>
        <v>0</v>
      </c>
      <c r="AN10" s="4">
        <f t="shared" si="11"/>
        <v>0</v>
      </c>
    </row>
    <row r="11" spans="1:41" s="4" customFormat="1">
      <c r="A11" s="4">
        <v>0</v>
      </c>
      <c r="B11" s="2" t="s">
        <v>6</v>
      </c>
      <c r="C11" s="4">
        <v>2</v>
      </c>
      <c r="D11" s="12">
        <v>5137</v>
      </c>
      <c r="H11" s="4">
        <v>5436</v>
      </c>
      <c r="K11" s="12">
        <f t="shared" si="1"/>
        <v>-299</v>
      </c>
      <c r="L11" s="12"/>
      <c r="M11" s="12">
        <f t="shared" si="2"/>
        <v>0</v>
      </c>
      <c r="N11" s="4">
        <f t="shared" si="0"/>
        <v>2.8287122401883216E-2</v>
      </c>
      <c r="P11" s="4">
        <f t="shared" si="3"/>
        <v>1.1786301000784674E-3</v>
      </c>
      <c r="V11" s="31"/>
      <c r="W11" s="12"/>
      <c r="X11" s="12"/>
      <c r="Y11" s="30"/>
      <c r="Z11" s="12"/>
      <c r="AA11" s="12">
        <f t="shared" si="5"/>
        <v>0</v>
      </c>
      <c r="AB11" s="12">
        <f t="shared" si="6"/>
        <v>0</v>
      </c>
      <c r="AD11" s="12"/>
      <c r="AE11" s="12"/>
      <c r="AF11" s="12"/>
      <c r="AG11" s="12"/>
      <c r="AH11" s="12"/>
      <c r="AI11" s="12"/>
      <c r="AJ11" s="12"/>
      <c r="AL11" s="7">
        <v>0</v>
      </c>
      <c r="AM11" s="4">
        <f t="shared" si="10"/>
        <v>0</v>
      </c>
      <c r="AN11" s="4">
        <f t="shared" si="11"/>
        <v>0</v>
      </c>
    </row>
    <row r="12" spans="1:41" s="4" customFormat="1">
      <c r="A12" s="4">
        <v>0</v>
      </c>
      <c r="B12" s="2" t="s">
        <v>6</v>
      </c>
      <c r="C12" s="4">
        <v>3</v>
      </c>
      <c r="D12" s="12">
        <v>4701</v>
      </c>
      <c r="H12" s="4">
        <v>5509</v>
      </c>
      <c r="K12" s="12">
        <f t="shared" si="1"/>
        <v>-808</v>
      </c>
      <c r="L12" s="12"/>
      <c r="M12" s="12">
        <f t="shared" si="2"/>
        <v>0</v>
      </c>
      <c r="N12" s="4">
        <f t="shared" si="0"/>
        <v>7.9303933224292966E-2</v>
      </c>
      <c r="P12" s="4">
        <f t="shared" si="3"/>
        <v>3.3043305510122071E-3</v>
      </c>
      <c r="V12" s="31"/>
      <c r="W12" s="12"/>
      <c r="X12" s="12"/>
      <c r="Y12" s="30"/>
      <c r="Z12" s="12"/>
      <c r="AA12" s="12">
        <f t="shared" si="5"/>
        <v>0</v>
      </c>
      <c r="AB12" s="12">
        <f t="shared" si="6"/>
        <v>0</v>
      </c>
      <c r="AD12" s="12"/>
      <c r="AE12" s="12"/>
      <c r="AF12" s="12"/>
      <c r="AG12" s="12"/>
      <c r="AH12" s="12"/>
      <c r="AI12" s="12"/>
      <c r="AJ12" s="12"/>
      <c r="AL12" s="7">
        <v>0</v>
      </c>
      <c r="AM12" s="4">
        <f t="shared" si="10"/>
        <v>0</v>
      </c>
      <c r="AN12" s="4">
        <f t="shared" si="11"/>
        <v>0</v>
      </c>
    </row>
    <row r="13" spans="1:41" s="12" customFormat="1">
      <c r="A13" s="12">
        <v>0</v>
      </c>
      <c r="B13" s="13" t="s">
        <v>7</v>
      </c>
      <c r="C13" s="12">
        <v>1</v>
      </c>
      <c r="D13" s="12">
        <v>13272</v>
      </c>
      <c r="E13" s="12">
        <f>AVERAGE(D13:D14)</f>
        <v>13223.5</v>
      </c>
      <c r="F13" s="12">
        <f>STDEV(D13:D14)</f>
        <v>68.58935777509511</v>
      </c>
      <c r="H13" s="12">
        <v>2706</v>
      </c>
      <c r="I13" s="12">
        <f>AVERAGE(H13:H14)</f>
        <v>2641</v>
      </c>
      <c r="J13" s="12">
        <f>STDEV(H13:H14)</f>
        <v>91.923881554251182</v>
      </c>
      <c r="K13" s="12">
        <f t="shared" si="1"/>
        <v>10566</v>
      </c>
      <c r="L13" s="12">
        <f>K13-K15</f>
        <v>11188</v>
      </c>
      <c r="M13" s="12">
        <f t="shared" si="2"/>
        <v>161107.20000000001</v>
      </c>
      <c r="N13" s="12">
        <f t="shared" si="0"/>
        <v>-0.79509251156977356</v>
      </c>
      <c r="O13" s="41">
        <f>AVERAGE(N13:N14)</f>
        <v>-0.80556707733121646</v>
      </c>
      <c r="P13" s="12">
        <f t="shared" si="3"/>
        <v>-3.3128854648740567E-2</v>
      </c>
      <c r="Q13" s="12">
        <f>N15-N13</f>
        <v>0.817870322303347</v>
      </c>
      <c r="R13" s="12">
        <f>AVERAGE(Q13:Q14)</f>
        <v>0.83196158914553497</v>
      </c>
      <c r="S13" s="12">
        <f>STDEV(Q13:Q14)</f>
        <v>1.9928060679240456E-2</v>
      </c>
      <c r="V13" s="31">
        <f>N15-Q13</f>
        <v>-0.79509251156977356</v>
      </c>
      <c r="W13" s="12">
        <f>(EXP(V13*2))-1</f>
        <v>-0.79611211573236895</v>
      </c>
      <c r="X13" s="12">
        <f>V13*2</f>
        <v>-1.5901850231395471</v>
      </c>
      <c r="Y13" s="30">
        <f>(D13*W13)/X13</f>
        <v>6644.5098188255151</v>
      </c>
      <c r="Z13" s="12">
        <v>11188</v>
      </c>
      <c r="AA13" s="12">
        <f t="shared" si="5"/>
        <v>5594</v>
      </c>
      <c r="AB13" s="12">
        <f t="shared" si="6"/>
        <v>1790080</v>
      </c>
      <c r="AC13" s="7">
        <v>86400</v>
      </c>
      <c r="AD13" s="12">
        <f t="shared" si="7"/>
        <v>3.7037037037037038E-3</v>
      </c>
      <c r="AE13" s="12">
        <f t="shared" si="8"/>
        <v>20.718518518518518</v>
      </c>
      <c r="AF13" s="12">
        <f>AVERAGE(AE13:AE14)</f>
        <v>19.277228009259261</v>
      </c>
      <c r="AG13" s="12">
        <f>STDEV(AE13:AE14)</f>
        <v>2.038292585514069</v>
      </c>
      <c r="AH13" s="12">
        <f t="shared" si="9"/>
        <v>1.5610698100149576</v>
      </c>
      <c r="AI13" s="12">
        <f>AVERAGE(AH13:AH14)</f>
        <v>1.4574205786317673</v>
      </c>
      <c r="AJ13" s="12">
        <f>STDEV(AH13:AH14)</f>
        <v>0.14658214875165487</v>
      </c>
      <c r="AK13" s="12">
        <f>G13-K13</f>
        <v>-10566</v>
      </c>
      <c r="AL13" s="7">
        <v>84160</v>
      </c>
      <c r="AM13" s="12">
        <f t="shared" si="10"/>
        <v>-229282.19999999998</v>
      </c>
      <c r="AN13" s="12">
        <f t="shared" si="11"/>
        <v>39511436.800000004</v>
      </c>
      <c r="AO13" s="12">
        <f t="shared" si="12"/>
        <v>-17232.666469529693</v>
      </c>
    </row>
    <row r="14" spans="1:41" s="12" customFormat="1">
      <c r="A14" s="12">
        <v>0</v>
      </c>
      <c r="B14" s="13" t="s">
        <v>7</v>
      </c>
      <c r="C14" s="12">
        <v>2</v>
      </c>
      <c r="D14" s="12">
        <v>13175</v>
      </c>
      <c r="H14" s="12">
        <v>2576</v>
      </c>
      <c r="K14" s="12">
        <f t="shared" si="1"/>
        <v>10599</v>
      </c>
      <c r="L14" s="12">
        <f>K14-K16</f>
        <v>11415</v>
      </c>
      <c r="M14" s="12">
        <f t="shared" si="2"/>
        <v>164376</v>
      </c>
      <c r="N14" s="12">
        <f t="shared" si="0"/>
        <v>-0.81604164309265936</v>
      </c>
      <c r="P14" s="12">
        <f t="shared" si="3"/>
        <v>-3.4001735128860809E-2</v>
      </c>
      <c r="Q14" s="12">
        <f>N16-N14</f>
        <v>0.84605285598772284</v>
      </c>
      <c r="V14" s="31">
        <f>N16-Q14</f>
        <v>-0.81604164309265936</v>
      </c>
      <c r="W14" s="12">
        <f>(EXP(V14*2))-1</f>
        <v>-0.80447817836812141</v>
      </c>
      <c r="X14" s="12">
        <f>V14*2</f>
        <v>-1.6320832861853187</v>
      </c>
      <c r="Y14" s="30">
        <f>(D14*W14)/X14</f>
        <v>6494.1538766524145</v>
      </c>
      <c r="Z14" s="12">
        <v>11415</v>
      </c>
      <c r="AA14" s="12">
        <f t="shared" si="5"/>
        <v>5707.5</v>
      </c>
      <c r="AB14" s="12">
        <f t="shared" si="6"/>
        <v>1826400</v>
      </c>
      <c r="AC14" s="7">
        <v>102400</v>
      </c>
      <c r="AD14" s="12">
        <f t="shared" si="7"/>
        <v>3.1250000000000002E-3</v>
      </c>
      <c r="AE14" s="12">
        <f t="shared" si="8"/>
        <v>17.8359375</v>
      </c>
      <c r="AH14" s="12">
        <f t="shared" si="9"/>
        <v>1.3537713472485768</v>
      </c>
      <c r="AK14" s="12">
        <f>G14-K14</f>
        <v>-10599</v>
      </c>
      <c r="AL14" s="7">
        <v>80000</v>
      </c>
      <c r="AM14" s="12">
        <f t="shared" si="10"/>
        <v>-229998.3</v>
      </c>
      <c r="AN14" s="12">
        <f t="shared" si="11"/>
        <v>37558400</v>
      </c>
      <c r="AO14" s="12">
        <f t="shared" si="12"/>
        <v>-16329.85982939874</v>
      </c>
    </row>
    <row r="15" spans="1:41" s="4" customFormat="1">
      <c r="A15" s="4">
        <v>0</v>
      </c>
      <c r="B15" s="2" t="s">
        <v>8</v>
      </c>
      <c r="C15" s="4">
        <v>1</v>
      </c>
      <c r="D15" s="4">
        <v>13345</v>
      </c>
      <c r="E15" s="4">
        <f>AVERAGE(D15:D16)</f>
        <v>13268</v>
      </c>
      <c r="F15" s="4">
        <f>STDEV(D15:D16)</f>
        <v>108.89444430272832</v>
      </c>
      <c r="H15" s="4">
        <v>13967</v>
      </c>
      <c r="I15" s="4">
        <f>AVERAGE(H15:H16)</f>
        <v>13987</v>
      </c>
      <c r="J15" s="4">
        <f>STDEV(H15:H16)</f>
        <v>28.284271247461902</v>
      </c>
      <c r="K15" s="12">
        <f t="shared" si="1"/>
        <v>-622</v>
      </c>
      <c r="L15" s="12"/>
      <c r="M15" s="12">
        <f t="shared" si="2"/>
        <v>0</v>
      </c>
      <c r="N15" s="4">
        <f t="shared" si="0"/>
        <v>2.2777810733573413E-2</v>
      </c>
      <c r="O15" s="4">
        <f>AVERAGE(N15:N16)</f>
        <v>2.6394511814318428E-2</v>
      </c>
      <c r="P15" s="4">
        <f t="shared" si="3"/>
        <v>9.490754472322255E-4</v>
      </c>
      <c r="V15" s="31"/>
      <c r="W15" s="12"/>
      <c r="X15" s="12"/>
      <c r="Y15" s="30"/>
      <c r="Z15" s="12"/>
      <c r="AA15" s="12">
        <f t="shared" si="5"/>
        <v>0</v>
      </c>
      <c r="AB15" s="12">
        <f t="shared" si="6"/>
        <v>0</v>
      </c>
      <c r="AD15" s="12"/>
      <c r="AE15" s="12"/>
      <c r="AF15" s="12"/>
      <c r="AG15" s="12"/>
      <c r="AH15" s="12"/>
      <c r="AI15" s="12"/>
      <c r="AJ15" s="12"/>
      <c r="AL15" s="7">
        <v>0</v>
      </c>
      <c r="AM15" s="4">
        <f t="shared" si="10"/>
        <v>0</v>
      </c>
      <c r="AN15" s="4">
        <f t="shared" si="11"/>
        <v>0</v>
      </c>
    </row>
    <row r="16" spans="1:41" s="4" customFormat="1">
      <c r="A16" s="4">
        <v>0</v>
      </c>
      <c r="B16" s="2" t="s">
        <v>8</v>
      </c>
      <c r="C16" s="4">
        <v>2</v>
      </c>
      <c r="D16" s="4">
        <v>13191</v>
      </c>
      <c r="H16" s="4">
        <v>14007</v>
      </c>
      <c r="K16" s="12">
        <f t="shared" si="1"/>
        <v>-816</v>
      </c>
      <c r="L16" s="12"/>
      <c r="M16" s="12">
        <f t="shared" si="2"/>
        <v>0</v>
      </c>
      <c r="N16" s="4">
        <f t="shared" si="0"/>
        <v>3.0011212895063442E-2</v>
      </c>
      <c r="P16" s="4">
        <f t="shared" si="3"/>
        <v>1.2504672039609767E-3</v>
      </c>
      <c r="V16" s="31"/>
      <c r="W16" s="12"/>
      <c r="X16" s="12"/>
      <c r="Y16" s="30"/>
      <c r="Z16" s="12"/>
      <c r="AA16" s="12">
        <f t="shared" si="5"/>
        <v>0</v>
      </c>
      <c r="AB16" s="12">
        <f t="shared" si="6"/>
        <v>0</v>
      </c>
      <c r="AD16" s="12"/>
      <c r="AE16" s="12"/>
      <c r="AF16" s="12"/>
      <c r="AG16" s="12"/>
      <c r="AH16" s="12"/>
      <c r="AI16" s="12"/>
      <c r="AJ16" s="12"/>
      <c r="AL16" s="7">
        <v>0</v>
      </c>
      <c r="AM16" s="4">
        <f t="shared" si="10"/>
        <v>0</v>
      </c>
      <c r="AN16" s="4">
        <f t="shared" si="11"/>
        <v>0</v>
      </c>
    </row>
    <row r="17" spans="1:41" s="12" customFormat="1">
      <c r="A17" s="12">
        <v>0</v>
      </c>
      <c r="B17" s="13" t="s">
        <v>9</v>
      </c>
      <c r="C17" s="12">
        <v>1</v>
      </c>
      <c r="D17" s="12">
        <v>23426</v>
      </c>
      <c r="E17" s="12">
        <f>AVERAGE(D17:D19)</f>
        <v>24672.666666666668</v>
      </c>
      <c r="F17" s="12">
        <f>STDEV(D17:D19)</f>
        <v>1119.2222001610464</v>
      </c>
      <c r="H17" s="12">
        <v>4208</v>
      </c>
      <c r="I17" s="12">
        <f>AVERAGE(H17:H19)</f>
        <v>4369.666666666667</v>
      </c>
      <c r="J17" s="12">
        <f>STDEV(H17:H19)</f>
        <v>301.03875719470631</v>
      </c>
      <c r="K17" s="12">
        <f t="shared" si="1"/>
        <v>19218</v>
      </c>
      <c r="L17" s="12">
        <f>K17-K20</f>
        <v>24436</v>
      </c>
      <c r="M17" s="12">
        <f t="shared" si="2"/>
        <v>351878.40000000002</v>
      </c>
      <c r="N17" s="12">
        <f t="shared" si="0"/>
        <v>-0.85842952060613709</v>
      </c>
      <c r="O17" s="41">
        <f>AVERAGE(N17:N19)</f>
        <v>-0.86592914356478057</v>
      </c>
      <c r="P17" s="12">
        <f t="shared" si="3"/>
        <v>-3.5767896691922381E-2</v>
      </c>
      <c r="Q17" s="12">
        <f>N20-N17</f>
        <v>0.95948235445180596</v>
      </c>
      <c r="R17" s="12">
        <f>AVERAGE(Q17:Q19)</f>
        <v>0.97820565954046401</v>
      </c>
      <c r="S17" s="12">
        <f>STDEV(Q17:Q19)</f>
        <v>5.6698144831660448E-2</v>
      </c>
      <c r="V17" s="31">
        <f>N20-Q17</f>
        <v>-0.85842952060613709</v>
      </c>
      <c r="W17" s="12">
        <f>(EXP(V17*2))-1</f>
        <v>-0.82037052847263725</v>
      </c>
      <c r="X17" s="12">
        <f>V17*2</f>
        <v>-1.7168590412122742</v>
      </c>
      <c r="Y17" s="30">
        <f>(D17*W17)/X17</f>
        <v>11193.697058804648</v>
      </c>
      <c r="Z17" s="12">
        <v>24436</v>
      </c>
      <c r="AA17" s="12">
        <f t="shared" si="5"/>
        <v>12218</v>
      </c>
      <c r="AB17" s="12">
        <f t="shared" si="6"/>
        <v>3909760</v>
      </c>
      <c r="AC17" s="7">
        <v>81600</v>
      </c>
      <c r="AD17" s="12">
        <f t="shared" si="7"/>
        <v>3.9215686274509803E-3</v>
      </c>
      <c r="AE17" s="12">
        <f t="shared" si="8"/>
        <v>47.913725490196079</v>
      </c>
      <c r="AF17" s="12">
        <f>AVERAGE(AE17:AE19)</f>
        <v>47.017185392675593</v>
      </c>
      <c r="AG17" s="12">
        <f>STDEV(AE17:AE19)</f>
        <v>6.1671915132978263</v>
      </c>
      <c r="AH17" s="12">
        <f t="shared" si="9"/>
        <v>2.0453225258343757</v>
      </c>
      <c r="AI17" s="12">
        <f>AVERAGE(AH17:AH19)</f>
        <v>1.9073669127505124</v>
      </c>
      <c r="AJ17" s="12">
        <f>STDEV(AH17:AH19)</f>
        <v>0.25071838032752852</v>
      </c>
      <c r="AL17" s="7">
        <v>-16000</v>
      </c>
      <c r="AM17" s="12">
        <f t="shared" si="10"/>
        <v>0</v>
      </c>
      <c r="AN17" s="12">
        <f t="shared" si="11"/>
        <v>-7511680</v>
      </c>
    </row>
    <row r="18" spans="1:41" s="12" customFormat="1">
      <c r="A18" s="12">
        <v>0</v>
      </c>
      <c r="B18" s="13" t="s">
        <v>9</v>
      </c>
      <c r="C18" s="12">
        <v>2</v>
      </c>
      <c r="D18" s="12">
        <v>25001</v>
      </c>
      <c r="H18" s="12">
        <v>4717</v>
      </c>
      <c r="K18" s="12">
        <f t="shared" si="1"/>
        <v>20284</v>
      </c>
      <c r="L18" s="12">
        <f>K18-K21</f>
        <v>25484</v>
      </c>
      <c r="M18" s="12">
        <f t="shared" si="2"/>
        <v>366969.60000000003</v>
      </c>
      <c r="N18" s="12">
        <f t="shared" si="0"/>
        <v>-0.83387140988304875</v>
      </c>
      <c r="P18" s="12">
        <f t="shared" si="3"/>
        <v>-3.4744642078460362E-2</v>
      </c>
      <c r="Q18" s="12">
        <f>N21-N18</f>
        <v>0.93323722822447008</v>
      </c>
      <c r="V18" s="31">
        <f>N21-Q18</f>
        <v>-0.83387140988304875</v>
      </c>
      <c r="W18" s="12">
        <f>(EXP(V18*2))-1</f>
        <v>-0.81132754689812403</v>
      </c>
      <c r="X18" s="12">
        <f>V18*2</f>
        <v>-1.6677428197660975</v>
      </c>
      <c r="Y18" s="30">
        <f>(D18*W18)/X18</f>
        <v>12162.546742575603</v>
      </c>
      <c r="Z18" s="12">
        <v>25484</v>
      </c>
      <c r="AA18" s="12">
        <f t="shared" si="5"/>
        <v>12742</v>
      </c>
      <c r="AB18" s="12">
        <f t="shared" si="6"/>
        <v>4077440</v>
      </c>
      <c r="AC18" s="7">
        <v>100800</v>
      </c>
      <c r="AD18" s="12">
        <f t="shared" si="7"/>
        <v>3.1746031746031746E-3</v>
      </c>
      <c r="AE18" s="12">
        <f t="shared" si="8"/>
        <v>40.450793650793649</v>
      </c>
      <c r="AH18" s="12">
        <f t="shared" si="9"/>
        <v>1.6179670273506521</v>
      </c>
      <c r="AL18" s="7">
        <v>-32000</v>
      </c>
      <c r="AM18" s="12">
        <f t="shared" si="10"/>
        <v>0</v>
      </c>
      <c r="AN18" s="12">
        <f t="shared" si="11"/>
        <v>-15023360</v>
      </c>
    </row>
    <row r="19" spans="1:41" s="12" customFormat="1">
      <c r="A19" s="12">
        <v>0</v>
      </c>
      <c r="B19" s="13" t="s">
        <v>9</v>
      </c>
      <c r="C19" s="12">
        <v>3</v>
      </c>
      <c r="D19" s="12">
        <v>25591</v>
      </c>
      <c r="H19" s="12">
        <v>4184</v>
      </c>
      <c r="K19" s="12">
        <f t="shared" si="1"/>
        <v>21407</v>
      </c>
      <c r="L19" s="12">
        <f>K19-K22</f>
        <v>28451</v>
      </c>
      <c r="M19" s="12">
        <f t="shared" si="2"/>
        <v>409694.4</v>
      </c>
      <c r="N19" s="12">
        <f t="shared" si="0"/>
        <v>-0.90548650020515586</v>
      </c>
      <c r="P19" s="12">
        <f t="shared" si="3"/>
        <v>-3.7728604175214828E-2</v>
      </c>
      <c r="Q19" s="12">
        <f>N22-N19</f>
        <v>1.0418973959451159</v>
      </c>
      <c r="V19" s="31">
        <f>N22-Q19</f>
        <v>-0.90548650020515598</v>
      </c>
      <c r="W19" s="12">
        <f>(EXP(V19*2))-1</f>
        <v>-0.83650502129654969</v>
      </c>
      <c r="X19" s="12">
        <f>V19*2</f>
        <v>-1.810973000410312</v>
      </c>
      <c r="Y19" s="30">
        <f>(D19*W19)/X19</f>
        <v>11820.71736859126</v>
      </c>
      <c r="Z19" s="12">
        <v>28451</v>
      </c>
      <c r="AA19" s="12">
        <f t="shared" si="5"/>
        <v>14225.5</v>
      </c>
      <c r="AB19" s="12">
        <f t="shared" si="6"/>
        <v>4552160</v>
      </c>
      <c r="AC19" s="7">
        <v>86400</v>
      </c>
      <c r="AD19" s="12">
        <f t="shared" si="7"/>
        <v>3.7037037037037038E-3</v>
      </c>
      <c r="AE19" s="12">
        <f t="shared" si="8"/>
        <v>52.687037037037037</v>
      </c>
      <c r="AH19" s="12">
        <f t="shared" si="9"/>
        <v>2.0588111850665092</v>
      </c>
      <c r="AL19" s="7">
        <v>23840</v>
      </c>
      <c r="AM19" s="12">
        <f t="shared" si="10"/>
        <v>0</v>
      </c>
      <c r="AN19" s="12">
        <f t="shared" si="11"/>
        <v>11192403.200000001</v>
      </c>
    </row>
    <row r="20" spans="1:41" s="4" customFormat="1">
      <c r="A20" s="4">
        <v>0</v>
      </c>
      <c r="B20" s="2" t="s">
        <v>10</v>
      </c>
      <c r="C20" s="4">
        <v>1</v>
      </c>
      <c r="D20" s="4">
        <v>23297</v>
      </c>
      <c r="E20" s="4">
        <f>AVERAGE(D20:D22)</f>
        <v>23135.333333333332</v>
      </c>
      <c r="F20" s="4">
        <f>STDEV(D20:D22)</f>
        <v>613.68422933405532</v>
      </c>
      <c r="H20" s="4">
        <v>28515</v>
      </c>
      <c r="I20" s="4">
        <f>AVERAGE(H20:H22)</f>
        <v>28956</v>
      </c>
      <c r="J20" s="4">
        <f>STDEV(H20:H22)</f>
        <v>501.15965519981756</v>
      </c>
      <c r="K20" s="12">
        <f t="shared" si="1"/>
        <v>-5218</v>
      </c>
      <c r="L20" s="12"/>
      <c r="M20" s="12">
        <f t="shared" si="2"/>
        <v>0</v>
      </c>
      <c r="N20" s="4">
        <f t="shared" ref="N20:N32" si="13">((LN(H20/D20))/(2-0))</f>
        <v>0.10105283384566889</v>
      </c>
      <c r="O20" s="4">
        <f>AVERAGE(N20:N22)</f>
        <v>0.1122765159756834</v>
      </c>
      <c r="P20" s="4">
        <f t="shared" si="3"/>
        <v>4.2105347435695368E-3</v>
      </c>
      <c r="V20" s="31"/>
      <c r="W20" s="12"/>
      <c r="X20" s="12"/>
      <c r="Y20" s="30"/>
      <c r="Z20" s="12"/>
      <c r="AA20" s="12">
        <f t="shared" si="5"/>
        <v>0</v>
      </c>
      <c r="AB20" s="12">
        <f t="shared" si="6"/>
        <v>0</v>
      </c>
      <c r="AD20" s="12"/>
      <c r="AE20" s="12"/>
      <c r="AF20" s="12"/>
      <c r="AG20" s="12"/>
      <c r="AH20" s="12"/>
      <c r="AI20" s="12"/>
      <c r="AJ20" s="12"/>
      <c r="AL20" s="7">
        <v>0</v>
      </c>
      <c r="AM20" s="4">
        <f t="shared" si="10"/>
        <v>0</v>
      </c>
      <c r="AN20" s="4">
        <f t="shared" si="11"/>
        <v>0</v>
      </c>
    </row>
    <row r="21" spans="1:41" s="4" customFormat="1">
      <c r="A21" s="4">
        <v>0</v>
      </c>
      <c r="B21" s="2" t="s">
        <v>10</v>
      </c>
      <c r="C21" s="4">
        <v>2</v>
      </c>
      <c r="D21" s="4">
        <v>23652</v>
      </c>
      <c r="H21" s="4">
        <v>28852</v>
      </c>
      <c r="K21" s="12">
        <f t="shared" si="1"/>
        <v>-5200</v>
      </c>
      <c r="L21" s="12"/>
      <c r="M21" s="12">
        <f t="shared" si="2"/>
        <v>0</v>
      </c>
      <c r="N21" s="4">
        <f t="shared" si="13"/>
        <v>9.9365818341421358E-2</v>
      </c>
      <c r="P21" s="4">
        <f t="shared" si="3"/>
        <v>4.1402424308925566E-3</v>
      </c>
      <c r="V21" s="31"/>
      <c r="W21" s="12"/>
      <c r="X21" s="12"/>
      <c r="Y21" s="30"/>
      <c r="Z21" s="12"/>
      <c r="AA21" s="12">
        <f t="shared" si="5"/>
        <v>0</v>
      </c>
      <c r="AB21" s="12">
        <f t="shared" si="6"/>
        <v>0</v>
      </c>
      <c r="AD21" s="12"/>
      <c r="AE21" s="12"/>
      <c r="AF21" s="12"/>
      <c r="AG21" s="12"/>
      <c r="AH21" s="12"/>
      <c r="AI21" s="12"/>
      <c r="AJ21" s="12"/>
      <c r="AL21" s="7">
        <v>0</v>
      </c>
      <c r="AM21" s="4">
        <f t="shared" si="10"/>
        <v>0</v>
      </c>
      <c r="AN21" s="4">
        <f t="shared" si="11"/>
        <v>0</v>
      </c>
    </row>
    <row r="22" spans="1:41" s="4" customFormat="1">
      <c r="A22" s="4">
        <v>0</v>
      </c>
      <c r="B22" s="2" t="s">
        <v>10</v>
      </c>
      <c r="C22" s="4">
        <v>3</v>
      </c>
      <c r="D22" s="4">
        <v>22457</v>
      </c>
      <c r="H22" s="4">
        <v>29501</v>
      </c>
      <c r="K22" s="12">
        <f t="shared" si="1"/>
        <v>-7044</v>
      </c>
      <c r="L22" s="12"/>
      <c r="M22" s="12">
        <f t="shared" si="2"/>
        <v>0</v>
      </c>
      <c r="N22" s="4">
        <f t="shared" si="13"/>
        <v>0.13641089573995996</v>
      </c>
      <c r="P22" s="4">
        <f t="shared" si="3"/>
        <v>5.6837873224983319E-3</v>
      </c>
      <c r="V22" s="31"/>
      <c r="W22" s="12"/>
      <c r="X22" s="12"/>
      <c r="Y22" s="30"/>
      <c r="Z22" s="12"/>
      <c r="AA22" s="12">
        <f t="shared" si="5"/>
        <v>0</v>
      </c>
      <c r="AB22" s="12">
        <f t="shared" si="6"/>
        <v>0</v>
      </c>
      <c r="AD22" s="12"/>
      <c r="AE22" s="12"/>
      <c r="AF22" s="12"/>
      <c r="AG22" s="12"/>
      <c r="AH22" s="12"/>
      <c r="AI22" s="12"/>
      <c r="AJ22" s="12"/>
      <c r="AL22" s="7">
        <v>0</v>
      </c>
      <c r="AM22" s="4">
        <f t="shared" si="10"/>
        <v>0</v>
      </c>
      <c r="AN22" s="4">
        <f t="shared" si="11"/>
        <v>0</v>
      </c>
    </row>
    <row r="23" spans="1:41" s="12" customFormat="1">
      <c r="A23" s="12">
        <v>0</v>
      </c>
      <c r="B23" s="13" t="s">
        <v>11</v>
      </c>
      <c r="C23" s="12">
        <v>1</v>
      </c>
      <c r="D23" s="12">
        <v>65782</v>
      </c>
      <c r="E23" s="12">
        <f>AVERAGE(D23:D24)</f>
        <v>65798.5</v>
      </c>
      <c r="F23" s="12">
        <f>STDEV(D23:D24)</f>
        <v>23.334523779156068</v>
      </c>
      <c r="H23" s="12">
        <v>19969</v>
      </c>
      <c r="I23" s="12">
        <f>AVERAGE(H23:H24)</f>
        <v>19108.5</v>
      </c>
      <c r="J23" s="12">
        <f>STDEV(H23:H24)</f>
        <v>1216.9307704220482</v>
      </c>
      <c r="K23" s="12">
        <f t="shared" si="1"/>
        <v>45813</v>
      </c>
      <c r="L23" s="12">
        <f>K23-K25</f>
        <v>74222</v>
      </c>
      <c r="M23" s="12">
        <f t="shared" si="2"/>
        <v>1068796.8</v>
      </c>
      <c r="N23" s="12">
        <f t="shared" si="13"/>
        <v>-0.59608258680784154</v>
      </c>
      <c r="O23" s="41">
        <f>AVERAGE(N23:N24)</f>
        <v>-0.61873936612774183</v>
      </c>
      <c r="P23" s="12">
        <f t="shared" si="3"/>
        <v>-2.483677445032673E-2</v>
      </c>
      <c r="Q23" s="12">
        <f>N25-N23</f>
        <v>0.79305745572595265</v>
      </c>
      <c r="R23" s="12">
        <f>AVERAGE(Q23:Q24)</f>
        <v>0.81489365408682912</v>
      </c>
      <c r="S23" s="12">
        <f>STDEV(Q23:Q24)</f>
        <v>3.0881047872620648E-2</v>
      </c>
      <c r="V23" s="31">
        <f>N25-Q23</f>
        <v>-0.59608258680784154</v>
      </c>
      <c r="W23" s="12">
        <f>(EXP(V23*2))-1</f>
        <v>-0.69643671521084793</v>
      </c>
      <c r="X23" s="12">
        <f>V23*2</f>
        <v>-1.1921651736156831</v>
      </c>
      <c r="Y23" s="30">
        <f>(D23*W23)/X23</f>
        <v>38428.399867658511</v>
      </c>
      <c r="Z23" s="12">
        <v>74222</v>
      </c>
      <c r="AA23" s="12">
        <f t="shared" si="5"/>
        <v>37111</v>
      </c>
      <c r="AB23" s="12">
        <f t="shared" si="6"/>
        <v>11875520</v>
      </c>
      <c r="AC23" s="7">
        <v>113600</v>
      </c>
      <c r="AD23" s="12">
        <f t="shared" si="7"/>
        <v>2.8169014084507044E-3</v>
      </c>
      <c r="AE23" s="12">
        <f t="shared" si="8"/>
        <v>104.53802816901408</v>
      </c>
      <c r="AF23" s="12">
        <f>AVERAGE(AE23:AE24)</f>
        <v>102.06771538320834</v>
      </c>
      <c r="AG23" s="12">
        <f>STDEV(AE23:AE24)</f>
        <v>3.4935498449901479</v>
      </c>
      <c r="AH23" s="12">
        <f t="shared" si="9"/>
        <v>1.5891585565810418</v>
      </c>
      <c r="AI23" s="12">
        <f>AVERAGE(AH23:AH24)</f>
        <v>1.5512259591186193</v>
      </c>
      <c r="AJ23" s="12">
        <f>STDEV(AH23:AH24)</f>
        <v>5.3644793787397151E-2</v>
      </c>
      <c r="AK23" s="12">
        <f>G23-K23</f>
        <v>-45813</v>
      </c>
      <c r="AL23" s="7">
        <v>36000</v>
      </c>
      <c r="AM23" s="12">
        <f t="shared" si="10"/>
        <v>-994142.1</v>
      </c>
      <c r="AN23" s="12">
        <f t="shared" si="11"/>
        <v>16901280</v>
      </c>
      <c r="AO23" s="12">
        <f t="shared" si="12"/>
        <v>-1700.0869392816178</v>
      </c>
    </row>
    <row r="24" spans="1:41" s="12" customFormat="1">
      <c r="A24" s="12">
        <v>0</v>
      </c>
      <c r="B24" s="13" t="s">
        <v>11</v>
      </c>
      <c r="C24" s="12">
        <v>2</v>
      </c>
      <c r="D24" s="12">
        <v>65815</v>
      </c>
      <c r="H24" s="12">
        <v>18248</v>
      </c>
      <c r="K24" s="12">
        <f t="shared" si="1"/>
        <v>47567</v>
      </c>
      <c r="L24" s="12">
        <f>K24-K26</f>
        <v>76690</v>
      </c>
      <c r="M24" s="12">
        <f t="shared" si="2"/>
        <v>1104336</v>
      </c>
      <c r="N24" s="12">
        <f t="shared" si="13"/>
        <v>-0.64139614544764212</v>
      </c>
      <c r="P24" s="12">
        <f t="shared" si="3"/>
        <v>-2.6724839393651754E-2</v>
      </c>
      <c r="Q24" s="12">
        <f>N26-N24</f>
        <v>0.83672985244770559</v>
      </c>
      <c r="V24" s="31">
        <f>N26-Q24</f>
        <v>-0.64139614544764212</v>
      </c>
      <c r="W24" s="12">
        <f>(EXP(V24*2))-1</f>
        <v>-0.72273797766466608</v>
      </c>
      <c r="X24" s="12">
        <f>V24*2</f>
        <v>-1.2827922908952842</v>
      </c>
      <c r="Y24" s="30">
        <f>(D24*W24)/X24</f>
        <v>37080.827767371535</v>
      </c>
      <c r="Z24" s="12">
        <v>76690</v>
      </c>
      <c r="AA24" s="12">
        <f t="shared" si="5"/>
        <v>38345</v>
      </c>
      <c r="AB24" s="12">
        <f t="shared" si="6"/>
        <v>12270400</v>
      </c>
      <c r="AC24" s="7">
        <v>123200</v>
      </c>
      <c r="AD24" s="12">
        <f t="shared" si="7"/>
        <v>2.5974025974025974E-3</v>
      </c>
      <c r="AE24" s="12">
        <f t="shared" si="8"/>
        <v>99.597402597402592</v>
      </c>
      <c r="AH24" s="12">
        <f t="shared" si="9"/>
        <v>1.5132933616561968</v>
      </c>
      <c r="AK24" s="12">
        <f>G24-K24</f>
        <v>-47567</v>
      </c>
      <c r="AL24" s="7">
        <v>75200</v>
      </c>
      <c r="AM24" s="12">
        <f t="shared" si="10"/>
        <v>-1032203.9</v>
      </c>
      <c r="AN24" s="12">
        <f t="shared" si="11"/>
        <v>35304896</v>
      </c>
      <c r="AO24" s="12">
        <f t="shared" si="12"/>
        <v>-3420.341271719667</v>
      </c>
    </row>
    <row r="25" spans="1:41" s="4" customFormat="1">
      <c r="A25" s="4">
        <v>0</v>
      </c>
      <c r="B25" s="2" t="s">
        <v>12</v>
      </c>
      <c r="C25" s="4">
        <v>1</v>
      </c>
      <c r="D25" s="4">
        <v>58839</v>
      </c>
      <c r="E25" s="4">
        <f>AVERAGE(D25:D26)</f>
        <v>59885</v>
      </c>
      <c r="F25" s="4">
        <f>STDEV(D25:D26)</f>
        <v>1479.2673862422573</v>
      </c>
      <c r="H25" s="4">
        <v>87248</v>
      </c>
      <c r="I25" s="4">
        <f>AVERAGE(H25:H26)</f>
        <v>88651</v>
      </c>
      <c r="J25" s="4">
        <f>STDEV(H25:H26)</f>
        <v>1984.1416280094525</v>
      </c>
      <c r="K25" s="12">
        <f t="shared" si="1"/>
        <v>-28409</v>
      </c>
      <c r="L25" s="12"/>
      <c r="M25" s="12">
        <f t="shared" si="2"/>
        <v>0</v>
      </c>
      <c r="N25" s="4">
        <f t="shared" si="13"/>
        <v>0.19697486891811111</v>
      </c>
      <c r="O25" s="4">
        <f>AVERAGE(N25:N26)</f>
        <v>0.19615428795908729</v>
      </c>
      <c r="P25" s="4">
        <f t="shared" si="3"/>
        <v>8.2072862049212963E-3</v>
      </c>
      <c r="V25" s="31"/>
      <c r="W25" s="12"/>
      <c r="X25" s="12"/>
      <c r="Y25" s="30"/>
      <c r="Z25" s="12"/>
      <c r="AA25" s="12">
        <f t="shared" si="5"/>
        <v>0</v>
      </c>
      <c r="AB25" s="12">
        <f t="shared" si="6"/>
        <v>0</v>
      </c>
      <c r="AD25" s="12"/>
      <c r="AE25" s="12"/>
      <c r="AF25" s="12"/>
      <c r="AG25" s="12"/>
      <c r="AH25" s="12"/>
      <c r="AI25" s="12"/>
      <c r="AJ25" s="12"/>
      <c r="AL25" s="7">
        <v>0</v>
      </c>
      <c r="AM25" s="4">
        <f t="shared" si="10"/>
        <v>0</v>
      </c>
      <c r="AN25" s="4">
        <f t="shared" si="11"/>
        <v>0</v>
      </c>
    </row>
    <row r="26" spans="1:41" s="4" customFormat="1">
      <c r="A26" s="4">
        <v>0</v>
      </c>
      <c r="B26" s="2" t="s">
        <v>12</v>
      </c>
      <c r="C26" s="4">
        <v>2</v>
      </c>
      <c r="D26" s="4">
        <v>60931</v>
      </c>
      <c r="H26" s="4">
        <v>90054</v>
      </c>
      <c r="K26" s="12">
        <f t="shared" si="1"/>
        <v>-29123</v>
      </c>
      <c r="L26" s="12"/>
      <c r="M26" s="12">
        <f t="shared" si="2"/>
        <v>0</v>
      </c>
      <c r="N26" s="4">
        <f t="shared" si="13"/>
        <v>0.19533370700006347</v>
      </c>
      <c r="P26" s="4">
        <f t="shared" si="3"/>
        <v>8.1389044583359774E-3</v>
      </c>
      <c r="V26" s="31"/>
      <c r="W26" s="12"/>
      <c r="X26" s="12"/>
      <c r="Y26" s="30"/>
      <c r="Z26" s="12"/>
      <c r="AA26" s="12">
        <f t="shared" si="5"/>
        <v>0</v>
      </c>
      <c r="AB26" s="12">
        <f t="shared" si="6"/>
        <v>0</v>
      </c>
      <c r="AD26" s="12"/>
      <c r="AE26" s="12"/>
      <c r="AF26" s="12"/>
      <c r="AG26" s="12"/>
      <c r="AH26" s="12"/>
      <c r="AI26" s="12"/>
      <c r="AJ26" s="12"/>
      <c r="AL26" s="7">
        <v>0</v>
      </c>
      <c r="AM26" s="4">
        <f t="shared" si="10"/>
        <v>0</v>
      </c>
      <c r="AN26" s="4">
        <f t="shared" si="11"/>
        <v>0</v>
      </c>
    </row>
    <row r="27" spans="1:41" s="12" customFormat="1">
      <c r="A27" s="12">
        <v>0</v>
      </c>
      <c r="B27" s="13" t="s">
        <v>13</v>
      </c>
      <c r="C27" s="12">
        <v>1</v>
      </c>
      <c r="D27" s="12">
        <v>83785</v>
      </c>
      <c r="E27" s="12">
        <f>AVERAGE(D27:D29)</f>
        <v>84872.666666666672</v>
      </c>
      <c r="F27" s="12">
        <f>STDEV(D27:D29)</f>
        <v>1453.8983229006535</v>
      </c>
      <c r="H27" s="12">
        <v>31723</v>
      </c>
      <c r="I27" s="12">
        <f>AVERAGE(H27:H29)</f>
        <v>32054.333333333332</v>
      </c>
      <c r="J27" s="12">
        <f>STDEV(H27:H29)</f>
        <v>1374.289755958813</v>
      </c>
      <c r="K27" s="12">
        <f t="shared" si="1"/>
        <v>52062</v>
      </c>
      <c r="L27" s="12">
        <f>K27-K30</f>
        <v>74368</v>
      </c>
      <c r="M27" s="12">
        <f t="shared" si="2"/>
        <v>1070899.2</v>
      </c>
      <c r="N27" s="12">
        <f t="shared" si="13"/>
        <v>-0.48560601200231057</v>
      </c>
      <c r="O27" s="41">
        <f>AVERAGE(N27:N29)</f>
        <v>-0.48711487164758033</v>
      </c>
      <c r="P27" s="12">
        <f t="shared" si="3"/>
        <v>-2.0233583833429606E-2</v>
      </c>
      <c r="Q27" s="12">
        <f>N30-N27</f>
        <v>0.60480878063342247</v>
      </c>
      <c r="R27" s="12">
        <f>AVERAGE(Q27:Q29)</f>
        <v>0.6449229457990705</v>
      </c>
      <c r="S27" s="12">
        <f>STDEV(Q27:Q29)</f>
        <v>3.7951684044822478E-2</v>
      </c>
      <c r="V27" s="31">
        <f>N30-Q27</f>
        <v>-0.48560601200231057</v>
      </c>
      <c r="W27" s="12">
        <f>(EXP(V27*2))-1</f>
        <v>-0.6213761413140777</v>
      </c>
      <c r="X27" s="12">
        <f>V27*2</f>
        <v>-0.97121202400462114</v>
      </c>
      <c r="Y27" s="30">
        <f>(D27*W27)/X27</f>
        <v>53605.184772457353</v>
      </c>
      <c r="Z27" s="12">
        <v>74368</v>
      </c>
      <c r="AA27" s="12">
        <f t="shared" si="5"/>
        <v>37184</v>
      </c>
      <c r="AB27" s="12">
        <f t="shared" si="6"/>
        <v>11898880</v>
      </c>
      <c r="AC27" s="7">
        <v>86400</v>
      </c>
      <c r="AD27" s="12">
        <f t="shared" si="7"/>
        <v>3.7037037037037038E-3</v>
      </c>
      <c r="AE27" s="12">
        <f t="shared" si="8"/>
        <v>137.71851851851852</v>
      </c>
      <c r="AF27" s="12">
        <f>AVERAGE(AE27:AE29)</f>
        <v>145.96614359974009</v>
      </c>
      <c r="AG27" s="12">
        <f>STDEV(AE27:AE29)</f>
        <v>10.302852320013589</v>
      </c>
      <c r="AH27" s="12">
        <f t="shared" si="9"/>
        <v>1.6437132961570511</v>
      </c>
      <c r="AI27" s="12">
        <f>AVERAGE(AH27:AH29)</f>
        <v>1.7187859690000806</v>
      </c>
      <c r="AJ27" s="12">
        <f>STDEV(AH27:AH29)</f>
        <v>9.1339070230395197E-2</v>
      </c>
      <c r="AK27" s="12">
        <f>G27-K27</f>
        <v>-52062</v>
      </c>
      <c r="AL27" s="7">
        <v>-16160</v>
      </c>
      <c r="AM27" s="12">
        <f t="shared" si="10"/>
        <v>-1129745.3999999999</v>
      </c>
      <c r="AN27" s="12">
        <f t="shared" si="11"/>
        <v>-7586796.8000000007</v>
      </c>
      <c r="AO27" s="12">
        <f t="shared" si="12"/>
        <v>671.54925348667064</v>
      </c>
    </row>
    <row r="28" spans="1:41" s="12" customFormat="1">
      <c r="A28" s="12">
        <v>0</v>
      </c>
      <c r="B28" s="13" t="s">
        <v>13</v>
      </c>
      <c r="C28" s="12">
        <v>2</v>
      </c>
      <c r="D28" s="12">
        <v>84309</v>
      </c>
      <c r="H28" s="12">
        <v>30876</v>
      </c>
      <c r="K28" s="12">
        <f t="shared" si="1"/>
        <v>53433</v>
      </c>
      <c r="L28" s="12">
        <f>K28-K31</f>
        <v>81319</v>
      </c>
      <c r="M28" s="12">
        <f t="shared" si="2"/>
        <v>1170993.6000000001</v>
      </c>
      <c r="N28" s="12">
        <f t="shared" si="13"/>
        <v>-0.5022547188937142</v>
      </c>
      <c r="P28" s="12">
        <f t="shared" si="3"/>
        <v>-2.0927279953904757E-2</v>
      </c>
      <c r="Q28" s="12">
        <f>N31-N28</f>
        <v>0.64970028242080702</v>
      </c>
      <c r="V28" s="31">
        <f>N31-Q28</f>
        <v>-0.5022547188937142</v>
      </c>
      <c r="W28" s="12">
        <f>(EXP(V28*2))-1</f>
        <v>-0.63377575347827642</v>
      </c>
      <c r="X28" s="12">
        <f>V28*2</f>
        <v>-1.0045094377874284</v>
      </c>
      <c r="Y28" s="30">
        <f>(D28*W28)/X28</f>
        <v>53193.128894531459</v>
      </c>
      <c r="Z28" s="12">
        <v>81319</v>
      </c>
      <c r="AA28" s="12">
        <f t="shared" si="5"/>
        <v>40659.5</v>
      </c>
      <c r="AB28" s="12">
        <f t="shared" si="6"/>
        <v>13011040</v>
      </c>
      <c r="AC28" s="7">
        <v>91200</v>
      </c>
      <c r="AD28" s="12">
        <f t="shared" si="7"/>
        <v>3.5087719298245615E-3</v>
      </c>
      <c r="AE28" s="12">
        <f t="shared" si="8"/>
        <v>142.66491228070174</v>
      </c>
      <c r="AH28" s="12">
        <f t="shared" si="9"/>
        <v>1.6921670554828281</v>
      </c>
      <c r="AK28" s="12">
        <f t="shared" ref="AK28:AK29" si="14">G28-K28</f>
        <v>-53433</v>
      </c>
      <c r="AL28" s="7">
        <v>76000</v>
      </c>
      <c r="AM28" s="12">
        <f t="shared" si="10"/>
        <v>-1159496.0999999999</v>
      </c>
      <c r="AN28" s="12">
        <f t="shared" si="11"/>
        <v>35680480</v>
      </c>
      <c r="AO28" s="12">
        <f t="shared" si="12"/>
        <v>-3077.2401908035745</v>
      </c>
    </row>
    <row r="29" spans="1:41" s="12" customFormat="1">
      <c r="A29" s="12">
        <v>0</v>
      </c>
      <c r="B29" s="13" t="s">
        <v>13</v>
      </c>
      <c r="C29" s="12">
        <v>3</v>
      </c>
      <c r="D29" s="12">
        <v>86524</v>
      </c>
      <c r="H29" s="12">
        <v>33564</v>
      </c>
      <c r="K29" s="12">
        <f t="shared" si="1"/>
        <v>52960</v>
      </c>
      <c r="L29" s="12">
        <f>K29-K32</f>
        <v>94509</v>
      </c>
      <c r="M29" s="12">
        <f t="shared" si="2"/>
        <v>1360929.6</v>
      </c>
      <c r="N29" s="12">
        <f t="shared" si="13"/>
        <v>-0.4734838840467161</v>
      </c>
      <c r="P29" s="12">
        <f t="shared" si="3"/>
        <v>-1.9728495168613171E-2</v>
      </c>
      <c r="Q29" s="12">
        <f>N32-N29</f>
        <v>0.6802597743429819</v>
      </c>
      <c r="V29" s="31">
        <f>N32-Q29</f>
        <v>-0.47348388404671615</v>
      </c>
      <c r="W29" s="12">
        <f>(EXP(V29*2))-1</f>
        <v>-0.61208450834450567</v>
      </c>
      <c r="X29" s="12">
        <f>V29*2</f>
        <v>-0.9469677680934323</v>
      </c>
      <c r="Y29" s="30">
        <f>(D29*W29)/X29</f>
        <v>55925.873915039869</v>
      </c>
      <c r="Z29" s="12">
        <v>94509</v>
      </c>
      <c r="AA29" s="12">
        <f t="shared" si="5"/>
        <v>47254.5</v>
      </c>
      <c r="AB29" s="12">
        <f t="shared" si="6"/>
        <v>15121440</v>
      </c>
      <c r="AC29" s="7">
        <v>96000</v>
      </c>
      <c r="AD29" s="12">
        <f t="shared" si="7"/>
        <v>3.3333333333333335E-3</v>
      </c>
      <c r="AE29" s="12">
        <f t="shared" si="8"/>
        <v>157.51499999999999</v>
      </c>
      <c r="AH29" s="12">
        <f t="shared" si="9"/>
        <v>1.8204775553603623</v>
      </c>
      <c r="AK29" s="12">
        <f t="shared" si="14"/>
        <v>-52960</v>
      </c>
      <c r="AL29" s="7">
        <v>76000</v>
      </c>
      <c r="AM29" s="12">
        <f t="shared" si="10"/>
        <v>-1149232</v>
      </c>
      <c r="AN29" s="12">
        <f t="shared" si="11"/>
        <v>35680480</v>
      </c>
      <c r="AO29" s="12">
        <f t="shared" si="12"/>
        <v>-3104.7238503626768</v>
      </c>
    </row>
    <row r="30" spans="1:41" s="4" customFormat="1">
      <c r="A30" s="4">
        <v>0</v>
      </c>
      <c r="B30" s="2" t="s">
        <v>14</v>
      </c>
      <c r="C30" s="4">
        <v>1</v>
      </c>
      <c r="D30" s="4">
        <v>82853</v>
      </c>
      <c r="E30" s="4">
        <f>AVERAGE(D30:D32)</f>
        <v>81760</v>
      </c>
      <c r="F30" s="4">
        <f>STDEV(D30:D32)</f>
        <v>950.97791772469668</v>
      </c>
      <c r="H30" s="4">
        <v>105159</v>
      </c>
      <c r="I30" s="4">
        <f>AVERAGE(H30:H32)</f>
        <v>112340.33333333333</v>
      </c>
      <c r="J30" s="4">
        <f>STDEV(H30:H32)</f>
        <v>9170.9465887297229</v>
      </c>
      <c r="K30" s="12">
        <f t="shared" si="1"/>
        <v>-22306</v>
      </c>
      <c r="L30" s="12"/>
      <c r="M30" s="12">
        <f t="shared" si="2"/>
        <v>0</v>
      </c>
      <c r="N30" s="4">
        <f t="shared" si="13"/>
        <v>0.1192027686311119</v>
      </c>
      <c r="O30" s="4">
        <f>AVERAGE(N30:N32)</f>
        <v>0.15780807415149015</v>
      </c>
      <c r="P30" s="4">
        <f t="shared" si="3"/>
        <v>4.9667820262963291E-3</v>
      </c>
      <c r="V30" s="31"/>
      <c r="Z30" s="12"/>
      <c r="AA30" s="12">
        <f t="shared" si="5"/>
        <v>0</v>
      </c>
      <c r="AB30" s="12">
        <f t="shared" si="6"/>
        <v>0</v>
      </c>
      <c r="AE30" s="12"/>
      <c r="AH30" s="12"/>
      <c r="AL30" s="7">
        <v>0</v>
      </c>
      <c r="AM30" s="4">
        <f t="shared" si="10"/>
        <v>0</v>
      </c>
      <c r="AN30" s="4">
        <f t="shared" si="11"/>
        <v>0</v>
      </c>
    </row>
    <row r="31" spans="1:41" s="4" customFormat="1">
      <c r="A31" s="4">
        <v>0</v>
      </c>
      <c r="B31" s="2" t="s">
        <v>14</v>
      </c>
      <c r="C31" s="4">
        <v>2</v>
      </c>
      <c r="D31" s="4">
        <v>81305</v>
      </c>
      <c r="H31" s="4">
        <v>109191</v>
      </c>
      <c r="K31" s="12">
        <f t="shared" si="1"/>
        <v>-27886</v>
      </c>
      <c r="L31" s="12"/>
      <c r="M31" s="12">
        <f t="shared" si="2"/>
        <v>0</v>
      </c>
      <c r="N31" s="4">
        <f t="shared" si="13"/>
        <v>0.14744556352709284</v>
      </c>
      <c r="P31" s="4">
        <f t="shared" si="3"/>
        <v>6.1435651469622021E-3</v>
      </c>
      <c r="V31" s="31"/>
      <c r="Z31" s="12"/>
      <c r="AA31" s="12">
        <f t="shared" si="5"/>
        <v>0</v>
      </c>
      <c r="AB31" s="12">
        <f t="shared" si="6"/>
        <v>0</v>
      </c>
      <c r="AE31" s="12"/>
      <c r="AH31" s="12"/>
      <c r="AL31" s="7">
        <v>0</v>
      </c>
      <c r="AM31" s="4">
        <f t="shared" si="10"/>
        <v>0</v>
      </c>
      <c r="AN31" s="4">
        <f t="shared" si="11"/>
        <v>0</v>
      </c>
    </row>
    <row r="32" spans="1:41" s="4" customFormat="1">
      <c r="A32" s="4">
        <v>0</v>
      </c>
      <c r="B32" s="2" t="s">
        <v>14</v>
      </c>
      <c r="C32" s="4">
        <v>3</v>
      </c>
      <c r="D32" s="4">
        <v>81122</v>
      </c>
      <c r="H32" s="4">
        <v>122671</v>
      </c>
      <c r="K32" s="12">
        <f t="shared" si="1"/>
        <v>-41549</v>
      </c>
      <c r="L32" s="12"/>
      <c r="M32" s="12">
        <f t="shared" si="2"/>
        <v>0</v>
      </c>
      <c r="N32" s="4">
        <f t="shared" si="13"/>
        <v>0.20677589029626575</v>
      </c>
      <c r="P32" s="4">
        <f t="shared" si="3"/>
        <v>8.6156620956777397E-3</v>
      </c>
      <c r="V32" s="31"/>
      <c r="Z32" s="12"/>
      <c r="AA32" s="12">
        <f t="shared" si="5"/>
        <v>0</v>
      </c>
      <c r="AB32" s="12">
        <f t="shared" si="6"/>
        <v>0</v>
      </c>
      <c r="AE32" s="12"/>
      <c r="AH32" s="12"/>
      <c r="AL32" s="7">
        <v>0</v>
      </c>
      <c r="AM32" s="4">
        <f t="shared" si="10"/>
        <v>0</v>
      </c>
      <c r="AN32" s="4">
        <f t="shared" si="11"/>
        <v>0</v>
      </c>
    </row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G30" sqref="G30"/>
    </sheetView>
  </sheetViews>
  <sheetFormatPr baseColWidth="10" defaultRowHeight="15" x14ac:dyDescent="0"/>
  <cols>
    <col min="2" max="2" width="12.6640625" customWidth="1"/>
    <col min="3" max="3" width="5.1640625" customWidth="1"/>
    <col min="8" max="26" width="10.83203125" style="14"/>
  </cols>
  <sheetData>
    <row r="1" spans="1:26">
      <c r="A1" t="s">
        <v>19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>
      <c r="D2" t="s">
        <v>23</v>
      </c>
      <c r="F2" t="s">
        <v>24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>
      <c r="A3" t="s">
        <v>1</v>
      </c>
      <c r="B3" t="s">
        <v>2</v>
      </c>
      <c r="C3" t="s">
        <v>18</v>
      </c>
      <c r="D3" t="s">
        <v>20</v>
      </c>
      <c r="F3" t="s">
        <v>20</v>
      </c>
      <c r="H3" s="14" t="s">
        <v>44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4" customFormat="1">
      <c r="A4" s="4">
        <v>11</v>
      </c>
      <c r="B4" s="5" t="s">
        <v>4</v>
      </c>
      <c r="C4" s="4">
        <v>1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5"/>
    </row>
    <row r="5" spans="1:26" s="4" customFormat="1">
      <c r="A5" s="4">
        <v>12</v>
      </c>
      <c r="B5" s="5" t="s">
        <v>4</v>
      </c>
      <c r="C5" s="4">
        <v>2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5"/>
    </row>
    <row r="6" spans="1:26" s="4" customFormat="1">
      <c r="A6" s="4">
        <v>13</v>
      </c>
      <c r="B6" s="5" t="s">
        <v>4</v>
      </c>
      <c r="C6" s="4">
        <v>3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5"/>
    </row>
    <row r="7" spans="1:26" s="3" customFormat="1">
      <c r="A7" s="12">
        <v>14</v>
      </c>
      <c r="B7" s="1" t="s">
        <v>5</v>
      </c>
      <c r="C7" s="3">
        <v>1</v>
      </c>
      <c r="D7" s="3">
        <v>1036.4100000000001</v>
      </c>
      <c r="E7" s="3">
        <f>AVERAGE(D7:D9)</f>
        <v>1036.2733333333333</v>
      </c>
      <c r="F7" s="3">
        <v>765.89099999999996</v>
      </c>
      <c r="G7" s="6">
        <f>AVERAGE(F7:F9)</f>
        <v>761.98533333333341</v>
      </c>
      <c r="H7" s="30">
        <f>G7-E7</f>
        <v>-274.2879999999999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6"/>
    </row>
    <row r="8" spans="1:26" s="3" customFormat="1">
      <c r="A8" s="12">
        <v>15</v>
      </c>
      <c r="B8" s="1" t="s">
        <v>5</v>
      </c>
      <c r="C8" s="3">
        <v>2</v>
      </c>
      <c r="D8" s="3">
        <v>1032.1199999999999</v>
      </c>
      <c r="F8" s="3">
        <v>759.61300000000006</v>
      </c>
      <c r="H8" s="12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</row>
    <row r="9" spans="1:26" s="3" customFormat="1">
      <c r="A9" s="12">
        <v>16</v>
      </c>
      <c r="B9" s="1" t="s">
        <v>5</v>
      </c>
      <c r="C9" s="3">
        <v>3</v>
      </c>
      <c r="D9" s="3">
        <v>1040.29</v>
      </c>
      <c r="F9" s="3">
        <v>760.452</v>
      </c>
      <c r="H9" s="12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6"/>
    </row>
    <row r="10" spans="1:26" s="4" customFormat="1">
      <c r="A10" s="4">
        <v>17</v>
      </c>
      <c r="B10" s="2" t="s">
        <v>6</v>
      </c>
      <c r="C10" s="4">
        <v>1</v>
      </c>
      <c r="D10" s="4">
        <v>981.03599999999994</v>
      </c>
      <c r="E10" s="4">
        <f>AVERAGE(D10:D12)</f>
        <v>997.38866666666661</v>
      </c>
      <c r="F10" s="4">
        <v>966.67499999999995</v>
      </c>
      <c r="G10" s="7">
        <f>AVERAGE(F10:F12)</f>
        <v>970.80666666666673</v>
      </c>
      <c r="H10" s="7">
        <f>G10-E10</f>
        <v>-26.58199999999988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5"/>
    </row>
    <row r="11" spans="1:26" s="4" customFormat="1">
      <c r="A11" s="4">
        <v>18</v>
      </c>
      <c r="B11" s="2" t="s">
        <v>6</v>
      </c>
      <c r="C11" s="4">
        <v>2</v>
      </c>
      <c r="D11" s="4">
        <v>1007.45</v>
      </c>
      <c r="F11" s="4">
        <v>980.601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5"/>
    </row>
    <row r="12" spans="1:26" s="4" customFormat="1">
      <c r="A12" s="4">
        <v>19</v>
      </c>
      <c r="B12" s="2" t="s">
        <v>6</v>
      </c>
      <c r="C12" s="4">
        <v>3</v>
      </c>
      <c r="D12" s="4">
        <v>1003.68</v>
      </c>
      <c r="F12" s="4">
        <v>965.14400000000001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5"/>
    </row>
    <row r="13" spans="1:26" s="3" customFormat="1">
      <c r="A13" s="12">
        <v>20</v>
      </c>
      <c r="B13" s="1" t="s">
        <v>7</v>
      </c>
      <c r="C13" s="3">
        <v>1</v>
      </c>
      <c r="D13" s="3">
        <v>1201.5899999999999</v>
      </c>
      <c r="E13" s="3">
        <f>AVERAGE(D13:D14)</f>
        <v>1194.3800000000001</v>
      </c>
      <c r="F13" s="3">
        <v>893.48199999999997</v>
      </c>
      <c r="G13" s="6">
        <f>AVERAGE(F13:F14)</f>
        <v>858.07899999999995</v>
      </c>
      <c r="H13" s="30">
        <f>G13-E13</f>
        <v>-336.30100000000016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6"/>
    </row>
    <row r="14" spans="1:26" s="3" customFormat="1">
      <c r="A14" s="12">
        <v>21</v>
      </c>
      <c r="B14" s="1" t="s">
        <v>7</v>
      </c>
      <c r="C14" s="3">
        <v>2</v>
      </c>
      <c r="D14" s="3">
        <v>1187.17</v>
      </c>
      <c r="F14" s="3">
        <v>822.67600000000004</v>
      </c>
      <c r="H14" s="12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6"/>
    </row>
    <row r="15" spans="1:26" s="4" customFormat="1">
      <c r="A15" s="4">
        <v>22</v>
      </c>
      <c r="B15" s="2" t="s">
        <v>8</v>
      </c>
      <c r="C15" s="4">
        <v>1</v>
      </c>
      <c r="D15" s="4">
        <v>1171.73</v>
      </c>
      <c r="E15" s="4">
        <f>AVERAGE(D15:D16)</f>
        <v>1172.51</v>
      </c>
      <c r="F15" s="4">
        <v>1118.68</v>
      </c>
      <c r="G15" s="7">
        <f>AVERAGE(F15:F16)</f>
        <v>1102.7449999999999</v>
      </c>
      <c r="H15" s="7">
        <f>G15-E15</f>
        <v>-69.7650000000001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5"/>
    </row>
    <row r="16" spans="1:26" s="4" customFormat="1">
      <c r="A16" s="4">
        <v>23</v>
      </c>
      <c r="B16" s="2" t="s">
        <v>8</v>
      </c>
      <c r="C16" s="4">
        <v>2</v>
      </c>
      <c r="D16" s="4">
        <v>1173.29</v>
      </c>
      <c r="F16" s="4">
        <v>1086.81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5"/>
    </row>
    <row r="17" spans="1:23" s="3" customFormat="1">
      <c r="A17" s="12">
        <v>24</v>
      </c>
      <c r="B17" s="1" t="s">
        <v>9</v>
      </c>
      <c r="C17" s="3">
        <v>1</v>
      </c>
      <c r="D17" s="3">
        <v>1234.8900000000001</v>
      </c>
      <c r="E17" s="3">
        <f>AVERAGE(D17:D19)</f>
        <v>1208.9166666666667</v>
      </c>
      <c r="F17" s="3">
        <v>893.01800000000003</v>
      </c>
      <c r="G17" s="6">
        <f>AVERAGE(F17:F19)</f>
        <v>863.80166666666673</v>
      </c>
      <c r="H17" s="30">
        <f>G17-E17</f>
        <v>-345.11500000000001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6"/>
    </row>
    <row r="18" spans="1:23" s="3" customFormat="1">
      <c r="A18" s="12">
        <v>25</v>
      </c>
      <c r="B18" s="1" t="s">
        <v>9</v>
      </c>
      <c r="C18" s="3">
        <v>2</v>
      </c>
      <c r="D18" s="3">
        <v>1227.96</v>
      </c>
      <c r="F18" s="3">
        <v>812.88400000000001</v>
      </c>
      <c r="H18" s="12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6"/>
    </row>
    <row r="19" spans="1:23" s="3" customFormat="1">
      <c r="A19" s="12">
        <v>26</v>
      </c>
      <c r="B19" s="1" t="s">
        <v>9</v>
      </c>
      <c r="C19" s="3">
        <v>3</v>
      </c>
      <c r="D19" s="3">
        <v>1163.9000000000001</v>
      </c>
      <c r="F19" s="3">
        <v>885.50300000000004</v>
      </c>
      <c r="H19" s="12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6"/>
    </row>
    <row r="20" spans="1:23" s="4" customFormat="1">
      <c r="A20" s="4">
        <v>27</v>
      </c>
      <c r="B20" s="2" t="s">
        <v>10</v>
      </c>
      <c r="C20" s="4">
        <v>1</v>
      </c>
      <c r="D20" s="4">
        <v>1193.3699999999999</v>
      </c>
      <c r="E20" s="4">
        <f>AVERAGE(D20:D22)</f>
        <v>1194.1666666666667</v>
      </c>
      <c r="F20" s="4">
        <v>1107.52</v>
      </c>
      <c r="G20" s="7">
        <f>AVERAGE(F20:F22)</f>
        <v>1106.8566666666666</v>
      </c>
      <c r="H20" s="7">
        <f>G20-E20</f>
        <v>-87.310000000000173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5"/>
    </row>
    <row r="21" spans="1:23" s="4" customFormat="1">
      <c r="A21" s="4">
        <v>28</v>
      </c>
      <c r="B21" s="2" t="s">
        <v>10</v>
      </c>
      <c r="C21" s="4">
        <v>2</v>
      </c>
      <c r="D21" s="4">
        <v>1186.24</v>
      </c>
      <c r="F21" s="4">
        <v>1123.29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5"/>
    </row>
    <row r="22" spans="1:23" s="4" customFormat="1">
      <c r="A22" s="4">
        <v>29</v>
      </c>
      <c r="B22" s="2" t="s">
        <v>10</v>
      </c>
      <c r="C22" s="4">
        <v>3</v>
      </c>
      <c r="D22" s="4">
        <v>1202.8900000000001</v>
      </c>
      <c r="F22" s="4">
        <v>1089.76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5"/>
    </row>
    <row r="23" spans="1:23" s="3" customFormat="1">
      <c r="A23" s="12">
        <v>30</v>
      </c>
      <c r="B23" s="1" t="s">
        <v>11</v>
      </c>
      <c r="C23" s="3">
        <v>1</v>
      </c>
      <c r="D23" s="3">
        <v>1238.1400000000001</v>
      </c>
      <c r="E23" s="3">
        <f>AVERAGE(D23:D24)</f>
        <v>1226.105</v>
      </c>
      <c r="F23" s="3">
        <v>956.024</v>
      </c>
      <c r="G23" s="6">
        <f>AVERAGE(F23:F24)</f>
        <v>958.69399999999996</v>
      </c>
      <c r="H23" s="30">
        <f>G23-E23</f>
        <v>-267.41100000000006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6"/>
    </row>
    <row r="24" spans="1:23" s="3" customFormat="1">
      <c r="A24" s="12">
        <v>31</v>
      </c>
      <c r="B24" s="1" t="s">
        <v>11</v>
      </c>
      <c r="C24" s="3">
        <v>2</v>
      </c>
      <c r="D24" s="3">
        <v>1214.07</v>
      </c>
      <c r="F24" s="3">
        <v>961.36400000000003</v>
      </c>
      <c r="H24" s="12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6"/>
    </row>
    <row r="25" spans="1:23" s="4" customFormat="1">
      <c r="A25" s="4">
        <v>32</v>
      </c>
      <c r="B25" s="2" t="s">
        <v>12</v>
      </c>
      <c r="C25" s="4">
        <v>1</v>
      </c>
      <c r="D25" s="4">
        <v>1298.97</v>
      </c>
      <c r="E25" s="4">
        <f>AVERAGE(D25:D26)</f>
        <v>1309.81</v>
      </c>
      <c r="F25" s="4">
        <v>1091.6199999999999</v>
      </c>
      <c r="G25" s="7">
        <f>AVERAGE(F25:F26)</f>
        <v>1089.3</v>
      </c>
      <c r="H25" s="7">
        <f>G25-E25</f>
        <v>-220.51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5"/>
    </row>
    <row r="26" spans="1:23" s="4" customFormat="1">
      <c r="A26" s="4">
        <v>33</v>
      </c>
      <c r="B26" s="2" t="s">
        <v>12</v>
      </c>
      <c r="C26" s="4">
        <v>2</v>
      </c>
      <c r="D26" s="4">
        <v>1320.65</v>
      </c>
      <c r="F26" s="4">
        <v>1086.98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5"/>
    </row>
    <row r="27" spans="1:23" s="3" customFormat="1">
      <c r="A27" s="12">
        <v>34</v>
      </c>
      <c r="B27" s="1" t="s">
        <v>13</v>
      </c>
      <c r="C27" s="3">
        <v>1</v>
      </c>
      <c r="D27" s="3">
        <v>1243.1099999999999</v>
      </c>
      <c r="E27" s="3">
        <f>AVERAGE(D27:D29)</f>
        <v>1242.21</v>
      </c>
      <c r="F27" s="3">
        <v>1006.53</v>
      </c>
      <c r="G27" s="6">
        <f>AVERAGE(F27:F29)</f>
        <v>1001.4989999999999</v>
      </c>
      <c r="H27" s="30">
        <f>G27-E27</f>
        <v>-240.71100000000013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6"/>
    </row>
    <row r="28" spans="1:23" s="3" customFormat="1">
      <c r="A28" s="12">
        <v>35</v>
      </c>
      <c r="B28" s="1" t="s">
        <v>13</v>
      </c>
      <c r="C28" s="3">
        <v>2</v>
      </c>
      <c r="D28" s="3">
        <v>1231.27</v>
      </c>
      <c r="F28" s="3">
        <v>994.40700000000004</v>
      </c>
      <c r="H28" s="12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6"/>
    </row>
    <row r="29" spans="1:23" s="3" customFormat="1">
      <c r="A29" s="12">
        <v>36</v>
      </c>
      <c r="B29" s="1" t="s">
        <v>13</v>
      </c>
      <c r="C29" s="3">
        <v>3</v>
      </c>
      <c r="D29" s="3">
        <v>1252.25</v>
      </c>
      <c r="F29" s="3">
        <v>1003.56</v>
      </c>
      <c r="H29" s="12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6"/>
    </row>
    <row r="30" spans="1:23" s="4" customFormat="1">
      <c r="A30" s="4">
        <v>37</v>
      </c>
      <c r="B30" s="2" t="s">
        <v>14</v>
      </c>
      <c r="C30" s="4">
        <v>1</v>
      </c>
      <c r="D30" s="4">
        <v>1287.02</v>
      </c>
      <c r="E30" s="4">
        <f>AVERAGE(D30:D32)</f>
        <v>1273.5900000000001</v>
      </c>
      <c r="F30" s="4">
        <v>1107.71</v>
      </c>
      <c r="G30" s="7">
        <f>AVERAGE(F30:F32)</f>
        <v>1101.4433333333334</v>
      </c>
      <c r="H30" s="7">
        <f>G30-E30</f>
        <v>-172.14666666666676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5"/>
    </row>
    <row r="31" spans="1:23" s="4" customFormat="1">
      <c r="A31" s="4">
        <v>38</v>
      </c>
      <c r="B31" s="2" t="s">
        <v>14</v>
      </c>
      <c r="C31" s="4">
        <v>2</v>
      </c>
      <c r="D31" s="4">
        <v>1246.82</v>
      </c>
      <c r="F31" s="4">
        <v>1109.1400000000001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5"/>
    </row>
    <row r="32" spans="1:23" s="4" customFormat="1">
      <c r="A32" s="4">
        <v>39</v>
      </c>
      <c r="B32" s="2" t="s">
        <v>14</v>
      </c>
      <c r="C32" s="4">
        <v>3</v>
      </c>
      <c r="D32" s="4">
        <v>1286.93</v>
      </c>
      <c r="F32" s="4">
        <v>1087.48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H28" sqref="H28"/>
    </sheetView>
  </sheetViews>
  <sheetFormatPr baseColWidth="10" defaultRowHeight="15" x14ac:dyDescent="0"/>
  <sheetData>
    <row r="1" spans="1:9">
      <c r="A1" t="s">
        <v>50</v>
      </c>
      <c r="H1" s="14"/>
      <c r="I1" s="14"/>
    </row>
    <row r="2" spans="1:9">
      <c r="D2" t="s">
        <v>23</v>
      </c>
      <c r="F2" t="s">
        <v>24</v>
      </c>
      <c r="H2" s="14"/>
      <c r="I2" s="14"/>
    </row>
    <row r="3" spans="1:9">
      <c r="A3" t="s">
        <v>1</v>
      </c>
      <c r="B3" t="s">
        <v>2</v>
      </c>
      <c r="C3" t="s">
        <v>18</v>
      </c>
      <c r="D3" t="s">
        <v>51</v>
      </c>
      <c r="F3" t="s">
        <v>51</v>
      </c>
      <c r="H3" s="14" t="s">
        <v>44</v>
      </c>
      <c r="I3" s="14"/>
    </row>
    <row r="4" spans="1:9">
      <c r="A4" s="4">
        <v>11</v>
      </c>
      <c r="B4" s="5" t="s">
        <v>4</v>
      </c>
      <c r="C4" s="4">
        <v>1</v>
      </c>
      <c r="D4" s="4"/>
      <c r="E4" s="4"/>
      <c r="F4" s="4"/>
      <c r="G4" s="4"/>
      <c r="H4" s="4"/>
      <c r="I4" s="17"/>
    </row>
    <row r="5" spans="1:9">
      <c r="A5" s="4">
        <v>12</v>
      </c>
      <c r="B5" s="5" t="s">
        <v>4</v>
      </c>
      <c r="C5" s="4">
        <v>2</v>
      </c>
      <c r="D5" s="4"/>
      <c r="E5" s="4"/>
      <c r="F5" s="4"/>
      <c r="G5" s="4"/>
      <c r="H5" s="4"/>
      <c r="I5" s="17"/>
    </row>
    <row r="6" spans="1:9">
      <c r="A6" s="4">
        <v>13</v>
      </c>
      <c r="B6" s="5" t="s">
        <v>4</v>
      </c>
      <c r="C6" s="4">
        <v>3</v>
      </c>
      <c r="D6" s="4"/>
      <c r="E6" s="4"/>
      <c r="F6" s="4"/>
      <c r="G6" s="4"/>
      <c r="H6" s="4"/>
      <c r="I6" s="17"/>
    </row>
    <row r="7" spans="1:9">
      <c r="A7" s="12">
        <v>14</v>
      </c>
      <c r="B7" s="1" t="s">
        <v>5</v>
      </c>
      <c r="C7" s="3">
        <v>1</v>
      </c>
      <c r="D7" s="3">
        <v>83.952500000000001</v>
      </c>
      <c r="E7" s="3">
        <f>AVERAGE(D7:D9)</f>
        <v>84.222866666666675</v>
      </c>
      <c r="F7" s="3">
        <v>64.185900000000004</v>
      </c>
      <c r="G7" s="6">
        <f>AVERAGE(F7:F9)</f>
        <v>68.76306666666666</v>
      </c>
      <c r="H7" s="30">
        <f>G7-E7</f>
        <v>-15.459800000000016</v>
      </c>
      <c r="I7" s="17"/>
    </row>
    <row r="8" spans="1:9">
      <c r="A8" s="12">
        <v>15</v>
      </c>
      <c r="B8" s="1" t="s">
        <v>5</v>
      </c>
      <c r="C8" s="3">
        <v>2</v>
      </c>
      <c r="D8" s="3">
        <v>84.422200000000004</v>
      </c>
      <c r="E8" s="3"/>
      <c r="F8" s="3">
        <v>69.6738</v>
      </c>
      <c r="G8" s="3"/>
      <c r="H8" s="12"/>
      <c r="I8" s="17"/>
    </row>
    <row r="9" spans="1:9">
      <c r="A9" s="12">
        <v>16</v>
      </c>
      <c r="B9" s="1" t="s">
        <v>5</v>
      </c>
      <c r="C9" s="3">
        <v>3</v>
      </c>
      <c r="D9" s="3">
        <v>84.293899999999994</v>
      </c>
      <c r="E9" s="3"/>
      <c r="F9" s="3">
        <v>72.429500000000004</v>
      </c>
      <c r="G9" s="3"/>
      <c r="H9" s="12"/>
      <c r="I9" s="17"/>
    </row>
    <row r="10" spans="1:9">
      <c r="A10" s="4">
        <v>17</v>
      </c>
      <c r="B10" s="2" t="s">
        <v>6</v>
      </c>
      <c r="C10" s="4">
        <v>1</v>
      </c>
      <c r="D10" s="4">
        <v>84.087199999999996</v>
      </c>
      <c r="E10" s="4">
        <f>AVERAGE(D10:D12)</f>
        <v>84.428566666666669</v>
      </c>
      <c r="F10" s="4">
        <v>78.942800000000005</v>
      </c>
      <c r="G10" s="7">
        <f>AVERAGE(F10:F12)</f>
        <v>78.239866666666671</v>
      </c>
      <c r="H10" s="7">
        <f>G10-E10</f>
        <v>-6.1886999999999972</v>
      </c>
      <c r="I10" s="17"/>
    </row>
    <row r="11" spans="1:9">
      <c r="A11" s="4">
        <v>18</v>
      </c>
      <c r="B11" s="2" t="s">
        <v>6</v>
      </c>
      <c r="C11" s="4">
        <v>2</v>
      </c>
      <c r="D11" s="4">
        <v>84.035799999999995</v>
      </c>
      <c r="E11" s="4"/>
      <c r="F11" s="4">
        <v>77.794600000000003</v>
      </c>
      <c r="G11" s="4"/>
      <c r="H11" s="4"/>
      <c r="I11" s="17"/>
    </row>
    <row r="12" spans="1:9">
      <c r="A12" s="4">
        <v>19</v>
      </c>
      <c r="B12" s="2" t="s">
        <v>6</v>
      </c>
      <c r="C12" s="4">
        <v>3</v>
      </c>
      <c r="D12" s="4">
        <v>85.162700000000001</v>
      </c>
      <c r="E12" s="4"/>
      <c r="F12" s="4">
        <v>77.982200000000006</v>
      </c>
      <c r="G12" s="4"/>
      <c r="H12" s="4"/>
      <c r="I12" s="17"/>
    </row>
    <row r="13" spans="1:9">
      <c r="A13" s="12">
        <v>20</v>
      </c>
      <c r="B13" s="1" t="s">
        <v>7</v>
      </c>
      <c r="C13" s="3">
        <v>1</v>
      </c>
      <c r="D13" s="3">
        <v>90.856099999999998</v>
      </c>
      <c r="E13" s="3">
        <f>AVERAGE(D13:D14)</f>
        <v>90.444999999999993</v>
      </c>
      <c r="F13" s="3">
        <v>68.200999999999993</v>
      </c>
      <c r="G13" s="6">
        <f>AVERAGE(F13:F14)</f>
        <v>67.78309999999999</v>
      </c>
      <c r="H13" s="30">
        <f>G13-E13</f>
        <v>-22.661900000000003</v>
      </c>
      <c r="I13" s="17"/>
    </row>
    <row r="14" spans="1:9">
      <c r="A14" s="12">
        <v>21</v>
      </c>
      <c r="B14" s="1" t="s">
        <v>7</v>
      </c>
      <c r="C14" s="3">
        <v>2</v>
      </c>
      <c r="D14" s="3">
        <v>90.033900000000003</v>
      </c>
      <c r="E14" s="3"/>
      <c r="F14" s="3">
        <v>67.365200000000002</v>
      </c>
      <c r="G14" s="3"/>
      <c r="H14" s="12"/>
      <c r="I14" s="17"/>
    </row>
    <row r="15" spans="1:9">
      <c r="A15" s="4">
        <v>22</v>
      </c>
      <c r="B15" s="2" t="s">
        <v>8</v>
      </c>
      <c r="C15" s="4">
        <v>1</v>
      </c>
      <c r="D15" s="4">
        <v>90.414100000000005</v>
      </c>
      <c r="E15" s="4">
        <f>AVERAGE(D15:D16)</f>
        <v>90.54195</v>
      </c>
      <c r="F15" s="4">
        <v>80.923599999999993</v>
      </c>
      <c r="G15" s="7">
        <f>AVERAGE(F15:F16)</f>
        <v>80.845200000000006</v>
      </c>
      <c r="H15" s="7">
        <f>G15-E15</f>
        <v>-9.6967499999999944</v>
      </c>
      <c r="I15" s="17"/>
    </row>
    <row r="16" spans="1:9">
      <c r="A16" s="4">
        <v>23</v>
      </c>
      <c r="B16" s="2" t="s">
        <v>8</v>
      </c>
      <c r="C16" s="4">
        <v>2</v>
      </c>
      <c r="D16" s="4">
        <v>90.669799999999995</v>
      </c>
      <c r="E16" s="4"/>
      <c r="F16" s="4">
        <v>80.766800000000003</v>
      </c>
      <c r="G16" s="4"/>
      <c r="H16" s="4"/>
      <c r="I16" s="17"/>
    </row>
    <row r="17" spans="1:9">
      <c r="A17" s="12">
        <v>24</v>
      </c>
      <c r="B17" s="1" t="s">
        <v>9</v>
      </c>
      <c r="C17" s="3">
        <v>1</v>
      </c>
      <c r="D17" s="3">
        <v>91.210999999999999</v>
      </c>
      <c r="E17" s="3">
        <f>AVERAGE(D17:D19)</f>
        <v>90.750699999999995</v>
      </c>
      <c r="F17" s="3">
        <v>65.798100000000005</v>
      </c>
      <c r="G17" s="6">
        <f>AVERAGE(F17:F19)</f>
        <v>66.55616666666667</v>
      </c>
      <c r="H17" s="30">
        <f>G17-E17</f>
        <v>-24.194533333333325</v>
      </c>
      <c r="I17" s="17"/>
    </row>
    <row r="18" spans="1:9">
      <c r="A18" s="12">
        <v>25</v>
      </c>
      <c r="B18" s="1" t="s">
        <v>9</v>
      </c>
      <c r="C18" s="3">
        <v>2</v>
      </c>
      <c r="D18" s="3">
        <v>91.634200000000007</v>
      </c>
      <c r="E18" s="3"/>
      <c r="F18" s="3">
        <v>64.9328</v>
      </c>
      <c r="G18" s="3"/>
      <c r="H18" s="12"/>
      <c r="I18" s="17"/>
    </row>
    <row r="19" spans="1:9">
      <c r="A19" s="12">
        <v>26</v>
      </c>
      <c r="B19" s="1" t="s">
        <v>9</v>
      </c>
      <c r="C19" s="3">
        <v>3</v>
      </c>
      <c r="D19" s="3">
        <v>89.406899999999993</v>
      </c>
      <c r="E19" s="3"/>
      <c r="F19" s="3">
        <v>68.937600000000003</v>
      </c>
      <c r="G19" s="3"/>
      <c r="H19" s="12"/>
      <c r="I19" s="17"/>
    </row>
    <row r="20" spans="1:9">
      <c r="A20" s="4">
        <v>27</v>
      </c>
      <c r="B20" s="2" t="s">
        <v>10</v>
      </c>
      <c r="C20" s="4">
        <v>1</v>
      </c>
      <c r="D20" s="4">
        <v>91.892799999999994</v>
      </c>
      <c r="E20" s="4">
        <f>AVERAGE(D20:D22)</f>
        <v>91.834933333333325</v>
      </c>
      <c r="F20" s="4">
        <v>79.921999999999997</v>
      </c>
      <c r="G20" s="7">
        <f>AVERAGE(F20:F22)</f>
        <v>80.136366666666675</v>
      </c>
      <c r="H20" s="7">
        <f>G20-E20</f>
        <v>-11.69856666666665</v>
      </c>
      <c r="I20" s="17"/>
    </row>
    <row r="21" spans="1:9">
      <c r="A21" s="4">
        <v>28</v>
      </c>
      <c r="B21" s="2" t="s">
        <v>10</v>
      </c>
      <c r="C21" s="4">
        <v>2</v>
      </c>
      <c r="D21" s="4">
        <v>91.591800000000006</v>
      </c>
      <c r="E21" s="4"/>
      <c r="F21" s="4">
        <v>80.194100000000006</v>
      </c>
      <c r="G21" s="4"/>
      <c r="H21" s="4"/>
      <c r="I21" s="17"/>
    </row>
    <row r="22" spans="1:9">
      <c r="A22" s="4">
        <v>29</v>
      </c>
      <c r="B22" s="2" t="s">
        <v>10</v>
      </c>
      <c r="C22" s="4">
        <v>3</v>
      </c>
      <c r="D22" s="4">
        <v>92.020200000000003</v>
      </c>
      <c r="E22" s="4"/>
      <c r="F22" s="4">
        <v>80.293000000000006</v>
      </c>
      <c r="G22" s="4"/>
      <c r="H22" s="4"/>
      <c r="I22" s="17"/>
    </row>
    <row r="23" spans="1:9">
      <c r="A23" s="12">
        <v>30</v>
      </c>
      <c r="B23" s="1" t="s">
        <v>11</v>
      </c>
      <c r="C23" s="3">
        <v>1</v>
      </c>
      <c r="D23" s="3">
        <v>91.525300000000001</v>
      </c>
      <c r="E23" s="3">
        <f>AVERAGE(D23:D24)</f>
        <v>91.279150000000001</v>
      </c>
      <c r="F23" s="3">
        <v>72.249600000000001</v>
      </c>
      <c r="G23" s="6">
        <f>AVERAGE(F23:F24)</f>
        <v>71.822249999999997</v>
      </c>
      <c r="H23" s="30">
        <f>G23-E23</f>
        <v>-19.456900000000005</v>
      </c>
      <c r="I23" s="17"/>
    </row>
    <row r="24" spans="1:9">
      <c r="A24" s="12">
        <v>31</v>
      </c>
      <c r="B24" s="1" t="s">
        <v>11</v>
      </c>
      <c r="C24" s="3">
        <v>2</v>
      </c>
      <c r="D24" s="3">
        <v>91.033000000000001</v>
      </c>
      <c r="E24" s="3"/>
      <c r="F24" s="3">
        <v>71.394900000000007</v>
      </c>
      <c r="G24" s="3"/>
      <c r="H24" s="12"/>
      <c r="I24" s="17"/>
    </row>
    <row r="25" spans="1:9">
      <c r="A25" s="4">
        <v>32</v>
      </c>
      <c r="B25" s="2" t="s">
        <v>12</v>
      </c>
      <c r="C25" s="4">
        <v>1</v>
      </c>
      <c r="D25" s="4">
        <v>94.456599999999995</v>
      </c>
      <c r="E25" s="4">
        <f>AVERAGE(D25:D26)</f>
        <v>94.764600000000002</v>
      </c>
      <c r="F25" s="4">
        <v>80.026700000000005</v>
      </c>
      <c r="G25" s="7">
        <f>AVERAGE(F25:F26)</f>
        <v>80.016750000000002</v>
      </c>
      <c r="H25" s="7">
        <f>G25-E25</f>
        <v>-14.74785</v>
      </c>
      <c r="I25" s="17"/>
    </row>
    <row r="26" spans="1:9">
      <c r="A26" s="4">
        <v>33</v>
      </c>
      <c r="B26" s="2" t="s">
        <v>12</v>
      </c>
      <c r="C26" s="4">
        <v>2</v>
      </c>
      <c r="D26" s="4">
        <v>95.072599999999994</v>
      </c>
      <c r="E26" s="4"/>
      <c r="F26" s="4">
        <v>80.006799999999998</v>
      </c>
      <c r="G26" s="4"/>
      <c r="H26" s="4"/>
      <c r="I26" s="17"/>
    </row>
    <row r="27" spans="1:9">
      <c r="A27" s="12">
        <v>34</v>
      </c>
      <c r="B27" s="1" t="s">
        <v>13</v>
      </c>
      <c r="C27" s="3">
        <v>1</v>
      </c>
      <c r="D27" s="3">
        <v>91.584999999999994</v>
      </c>
      <c r="E27" s="3">
        <f>AVERAGE(D27:D29)</f>
        <v>91.693599999999989</v>
      </c>
      <c r="F27" s="3">
        <v>74.865899999999996</v>
      </c>
      <c r="G27" s="6">
        <f>AVERAGE(F27:F29)</f>
        <v>74.39543333333333</v>
      </c>
      <c r="H27" s="30">
        <f>G27-E27</f>
        <v>-17.29816666666666</v>
      </c>
      <c r="I27" s="17"/>
    </row>
    <row r="28" spans="1:9">
      <c r="A28" s="12">
        <v>35</v>
      </c>
      <c r="B28" s="1" t="s">
        <v>13</v>
      </c>
      <c r="C28" s="3">
        <v>2</v>
      </c>
      <c r="D28" s="3">
        <v>91.835899999999995</v>
      </c>
      <c r="E28" s="3"/>
      <c r="F28" s="3">
        <v>73.829899999999995</v>
      </c>
      <c r="G28" s="3"/>
      <c r="H28" s="12"/>
      <c r="I28" s="17"/>
    </row>
    <row r="29" spans="1:9">
      <c r="A29" s="12">
        <v>36</v>
      </c>
      <c r="B29" s="1" t="s">
        <v>13</v>
      </c>
      <c r="C29" s="3">
        <v>3</v>
      </c>
      <c r="D29" s="3">
        <v>91.659899999999993</v>
      </c>
      <c r="E29" s="3"/>
      <c r="F29" s="3">
        <v>74.490499999999997</v>
      </c>
      <c r="G29" s="3"/>
      <c r="H29" s="12"/>
      <c r="I29" s="17"/>
    </row>
    <row r="30" spans="1:9">
      <c r="A30" s="4">
        <v>37</v>
      </c>
      <c r="B30" s="2" t="s">
        <v>14</v>
      </c>
      <c r="C30" s="4">
        <v>1</v>
      </c>
      <c r="D30" s="4">
        <v>93.682699999999997</v>
      </c>
      <c r="E30" s="4">
        <f>AVERAGE(D30:D32)</f>
        <v>93.416899999999998</v>
      </c>
      <c r="F30" s="4">
        <v>80.077600000000004</v>
      </c>
      <c r="G30" s="7">
        <f>AVERAGE(F30:F32)</f>
        <v>79.739433333333338</v>
      </c>
      <c r="H30" s="7">
        <f>G30-E30</f>
        <v>-13.67746666666666</v>
      </c>
      <c r="I30" s="17"/>
    </row>
    <row r="31" spans="1:9">
      <c r="A31" s="4">
        <v>38</v>
      </c>
      <c r="B31" s="2" t="s">
        <v>14</v>
      </c>
      <c r="C31" s="4">
        <v>2</v>
      </c>
      <c r="D31" s="4">
        <v>92.803200000000004</v>
      </c>
      <c r="E31" s="4"/>
      <c r="F31" s="4">
        <v>80.066900000000004</v>
      </c>
      <c r="G31" s="4"/>
      <c r="H31" s="4"/>
      <c r="I31" s="17"/>
    </row>
    <row r="32" spans="1:9">
      <c r="A32" s="4">
        <v>39</v>
      </c>
      <c r="B32" s="2" t="s">
        <v>14</v>
      </c>
      <c r="C32" s="4">
        <v>3</v>
      </c>
      <c r="D32" s="4">
        <v>93.764799999999994</v>
      </c>
      <c r="E32" s="4"/>
      <c r="F32" s="4">
        <v>79.073800000000006</v>
      </c>
      <c r="G32" s="4"/>
      <c r="H32" s="4"/>
      <c r="I32" s="1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I15" sqref="I15"/>
    </sheetView>
  </sheetViews>
  <sheetFormatPr baseColWidth="10" defaultRowHeight="15" x14ac:dyDescent="0"/>
  <sheetData>
    <row r="1" spans="1:9">
      <c r="A1" t="s">
        <v>52</v>
      </c>
      <c r="H1" s="14"/>
      <c r="I1" s="14"/>
    </row>
    <row r="2" spans="1:9">
      <c r="D2" t="s">
        <v>23</v>
      </c>
      <c r="F2" t="s">
        <v>24</v>
      </c>
      <c r="H2" s="14"/>
      <c r="I2" s="14"/>
    </row>
    <row r="3" spans="1:9">
      <c r="A3" t="s">
        <v>1</v>
      </c>
      <c r="B3" t="s">
        <v>2</v>
      </c>
      <c r="C3" t="s">
        <v>18</v>
      </c>
      <c r="D3" t="s">
        <v>53</v>
      </c>
      <c r="F3" t="s">
        <v>53</v>
      </c>
      <c r="H3" s="14" t="s">
        <v>44</v>
      </c>
      <c r="I3" s="14"/>
    </row>
    <row r="4" spans="1:9">
      <c r="A4" s="4">
        <v>11</v>
      </c>
      <c r="B4" s="5" t="s">
        <v>4</v>
      </c>
      <c r="C4" s="4">
        <v>1</v>
      </c>
      <c r="D4" s="4"/>
      <c r="E4" s="4"/>
      <c r="F4" s="4"/>
      <c r="G4" s="4"/>
      <c r="H4" s="4"/>
      <c r="I4" s="17"/>
    </row>
    <row r="5" spans="1:9">
      <c r="A5" s="4">
        <v>12</v>
      </c>
      <c r="B5" s="5" t="s">
        <v>4</v>
      </c>
      <c r="C5" s="4">
        <v>2</v>
      </c>
      <c r="D5" s="4"/>
      <c r="E5" s="4"/>
      <c r="F5" s="4"/>
      <c r="G5" s="4"/>
      <c r="H5" s="4"/>
      <c r="I5" s="17"/>
    </row>
    <row r="6" spans="1:9">
      <c r="A6" s="4">
        <v>13</v>
      </c>
      <c r="B6" s="5" t="s">
        <v>4</v>
      </c>
      <c r="C6" s="4">
        <v>3</v>
      </c>
      <c r="D6" s="4"/>
      <c r="E6" s="4"/>
      <c r="F6" s="4"/>
      <c r="G6" s="4"/>
      <c r="H6" s="4"/>
      <c r="I6" s="17"/>
    </row>
    <row r="7" spans="1:9">
      <c r="A7" s="12">
        <v>14</v>
      </c>
      <c r="B7" s="1" t="s">
        <v>5</v>
      </c>
      <c r="C7" s="3">
        <v>1</v>
      </c>
      <c r="D7" s="3">
        <v>396.90100000000001</v>
      </c>
      <c r="E7" s="3">
        <f>AVERAGE(D7:D9)</f>
        <v>401.27266666666668</v>
      </c>
      <c r="F7" s="3">
        <v>992.14700000000005</v>
      </c>
      <c r="G7" s="6">
        <f>AVERAGE(F7:F9)</f>
        <v>797.72233333333327</v>
      </c>
      <c r="H7" s="30">
        <f>G7-E7</f>
        <v>396.44966666666659</v>
      </c>
      <c r="I7" s="17"/>
    </row>
    <row r="8" spans="1:9">
      <c r="A8" s="12">
        <v>15</v>
      </c>
      <c r="B8" s="1" t="s">
        <v>5</v>
      </c>
      <c r="C8" s="3">
        <v>2</v>
      </c>
      <c r="D8" s="3">
        <v>408.76299999999998</v>
      </c>
      <c r="E8" s="3"/>
      <c r="F8" s="3">
        <v>748.94799999999998</v>
      </c>
      <c r="G8" s="3"/>
      <c r="H8" s="12"/>
      <c r="I8" s="17"/>
    </row>
    <row r="9" spans="1:9">
      <c r="A9" s="12">
        <v>16</v>
      </c>
      <c r="B9" s="1" t="s">
        <v>5</v>
      </c>
      <c r="C9" s="3">
        <v>3</v>
      </c>
      <c r="D9" s="3">
        <v>398.154</v>
      </c>
      <c r="E9" s="3"/>
      <c r="F9" s="3">
        <v>652.072</v>
      </c>
      <c r="G9" s="3"/>
      <c r="H9" s="12"/>
      <c r="I9" s="17"/>
    </row>
    <row r="10" spans="1:9">
      <c r="A10" s="4">
        <v>17</v>
      </c>
      <c r="B10" s="2" t="s">
        <v>6</v>
      </c>
      <c r="C10" s="4">
        <v>1</v>
      </c>
      <c r="D10" s="4">
        <v>409.47300000000001</v>
      </c>
      <c r="E10" s="4">
        <f>AVERAGE(D10:D12)</f>
        <v>408.83033333333333</v>
      </c>
      <c r="F10" s="4">
        <v>584.92399999999998</v>
      </c>
      <c r="G10" s="7">
        <f>AVERAGE(F10:F12)</f>
        <v>586.52733333333333</v>
      </c>
      <c r="H10" s="7">
        <f>G10-E10</f>
        <v>177.697</v>
      </c>
      <c r="I10" s="17"/>
    </row>
    <row r="11" spans="1:9">
      <c r="A11" s="4">
        <v>18</v>
      </c>
      <c r="B11" s="2" t="s">
        <v>6</v>
      </c>
      <c r="C11" s="4">
        <v>2</v>
      </c>
      <c r="D11" s="4">
        <v>401.78199999999998</v>
      </c>
      <c r="E11" s="4"/>
      <c r="F11" s="4">
        <v>573.78399999999999</v>
      </c>
      <c r="G11" s="4"/>
      <c r="H11" s="4"/>
      <c r="I11" s="17"/>
    </row>
    <row r="12" spans="1:9">
      <c r="A12" s="4">
        <v>19</v>
      </c>
      <c r="B12" s="2" t="s">
        <v>6</v>
      </c>
      <c r="C12" s="4">
        <v>3</v>
      </c>
      <c r="D12" s="4">
        <v>415.23599999999999</v>
      </c>
      <c r="E12" s="4"/>
      <c r="F12" s="4">
        <v>600.87400000000002</v>
      </c>
      <c r="G12" s="4"/>
      <c r="H12" s="4"/>
      <c r="I12" s="17"/>
    </row>
    <row r="13" spans="1:9">
      <c r="A13" s="12">
        <v>20</v>
      </c>
      <c r="B13" s="1" t="s">
        <v>7</v>
      </c>
      <c r="C13" s="3">
        <v>1</v>
      </c>
      <c r="D13" s="3">
        <v>399.63200000000001</v>
      </c>
      <c r="E13" s="3">
        <f>AVERAGE(D13:D14)</f>
        <v>400.81849999999997</v>
      </c>
      <c r="F13" s="3">
        <v>675.73400000000004</v>
      </c>
      <c r="G13" s="6">
        <f>AVERAGE(F13:F14)</f>
        <v>653.8125</v>
      </c>
      <c r="H13" s="30">
        <f>G13-E13</f>
        <v>252.99400000000003</v>
      </c>
      <c r="I13" s="17"/>
    </row>
    <row r="14" spans="1:9">
      <c r="A14" s="12">
        <v>21</v>
      </c>
      <c r="B14" s="1" t="s">
        <v>7</v>
      </c>
      <c r="C14" s="3">
        <v>2</v>
      </c>
      <c r="D14" s="3">
        <v>402.005</v>
      </c>
      <c r="E14" s="3"/>
      <c r="F14" s="3">
        <v>631.89099999999996</v>
      </c>
      <c r="G14" s="3"/>
      <c r="H14" s="12"/>
      <c r="I14" s="17"/>
    </row>
    <row r="15" spans="1:9">
      <c r="A15" s="4">
        <v>22</v>
      </c>
      <c r="B15" s="2" t="s">
        <v>8</v>
      </c>
      <c r="C15" s="4">
        <v>1</v>
      </c>
      <c r="D15" s="4">
        <v>410.31299999999999</v>
      </c>
      <c r="E15" s="4">
        <f>AVERAGE(D15:D16)</f>
        <v>411.12900000000002</v>
      </c>
      <c r="F15" s="4">
        <v>577.08799999999997</v>
      </c>
      <c r="G15" s="7">
        <f>AVERAGE(F15:F16)</f>
        <v>575.34249999999997</v>
      </c>
      <c r="H15" s="7">
        <f>G15-E15</f>
        <v>164.21349999999995</v>
      </c>
      <c r="I15" s="17"/>
    </row>
    <row r="16" spans="1:9">
      <c r="A16" s="4">
        <v>23</v>
      </c>
      <c r="B16" s="2" t="s">
        <v>8</v>
      </c>
      <c r="C16" s="4">
        <v>2</v>
      </c>
      <c r="D16" s="4">
        <v>411.94499999999999</v>
      </c>
      <c r="E16" s="4"/>
      <c r="F16" s="4">
        <v>573.59699999999998</v>
      </c>
      <c r="G16" s="4"/>
      <c r="H16" s="4"/>
      <c r="I16" s="17"/>
    </row>
    <row r="17" spans="1:9">
      <c r="A17" s="12">
        <v>24</v>
      </c>
      <c r="B17" s="1" t="s">
        <v>9</v>
      </c>
      <c r="C17" s="3">
        <v>1</v>
      </c>
      <c r="D17" s="3">
        <v>393.03100000000001</v>
      </c>
      <c r="E17" s="3">
        <f>AVERAGE(D17:D19)</f>
        <v>393.78733333333338</v>
      </c>
      <c r="F17" s="3">
        <v>551.42899999999997</v>
      </c>
      <c r="G17" s="6">
        <f>AVERAGE(F17:F19)</f>
        <v>529.16133333333335</v>
      </c>
      <c r="H17" s="30">
        <f>G17-E17</f>
        <v>135.37399999999997</v>
      </c>
      <c r="I17" s="17"/>
    </row>
    <row r="18" spans="1:9">
      <c r="A18" s="12">
        <v>25</v>
      </c>
      <c r="B18" s="1" t="s">
        <v>9</v>
      </c>
      <c r="C18" s="3">
        <v>2</v>
      </c>
      <c r="D18" s="3">
        <v>396.95699999999999</v>
      </c>
      <c r="E18" s="3"/>
      <c r="F18" s="3">
        <v>504.84800000000001</v>
      </c>
      <c r="G18" s="3"/>
      <c r="H18" s="12"/>
      <c r="I18" s="17"/>
    </row>
    <row r="19" spans="1:9">
      <c r="A19" s="12">
        <v>26</v>
      </c>
      <c r="B19" s="1" t="s">
        <v>9</v>
      </c>
      <c r="C19" s="3">
        <v>3</v>
      </c>
      <c r="D19" s="3">
        <v>391.37400000000002</v>
      </c>
      <c r="E19" s="3"/>
      <c r="F19" s="3">
        <v>531.20699999999999</v>
      </c>
      <c r="G19" s="3"/>
      <c r="H19" s="12"/>
      <c r="I19" s="17"/>
    </row>
    <row r="20" spans="1:9">
      <c r="A20" s="4">
        <v>27</v>
      </c>
      <c r="B20" s="2" t="s">
        <v>10</v>
      </c>
      <c r="C20" s="4">
        <v>1</v>
      </c>
      <c r="D20" s="4">
        <v>409.83499999999998</v>
      </c>
      <c r="E20" s="4">
        <f>AVERAGE(D20:D22)</f>
        <v>409.87266666666665</v>
      </c>
      <c r="F20" s="4">
        <v>580.52700000000004</v>
      </c>
      <c r="G20" s="7">
        <f>AVERAGE(F20:F22)</f>
        <v>583.16566666666665</v>
      </c>
      <c r="H20" s="7">
        <f>G20-E20</f>
        <v>173.29300000000001</v>
      </c>
      <c r="I20" s="17"/>
    </row>
    <row r="21" spans="1:9">
      <c r="A21" s="4">
        <v>28</v>
      </c>
      <c r="B21" s="2" t="s">
        <v>10</v>
      </c>
      <c r="C21" s="4">
        <v>2</v>
      </c>
      <c r="D21" s="4">
        <v>409.84800000000001</v>
      </c>
      <c r="E21" s="4"/>
      <c r="F21" s="4">
        <v>587.78899999999999</v>
      </c>
      <c r="G21" s="4"/>
      <c r="H21" s="4"/>
      <c r="I21" s="17"/>
    </row>
    <row r="22" spans="1:9">
      <c r="A22" s="4">
        <v>29</v>
      </c>
      <c r="B22" s="2" t="s">
        <v>10</v>
      </c>
      <c r="C22" s="4">
        <v>3</v>
      </c>
      <c r="D22" s="4">
        <v>409.935</v>
      </c>
      <c r="E22" s="4"/>
      <c r="F22" s="4">
        <v>581.18100000000004</v>
      </c>
      <c r="G22" s="4"/>
      <c r="H22" s="4"/>
      <c r="I22" s="17"/>
    </row>
    <row r="23" spans="1:9">
      <c r="A23" s="12">
        <v>30</v>
      </c>
      <c r="B23" s="1" t="s">
        <v>11</v>
      </c>
      <c r="C23" s="3">
        <v>1</v>
      </c>
      <c r="D23" s="3">
        <v>396.17599999999999</v>
      </c>
      <c r="E23" s="3">
        <f>AVERAGE(D23:D24)</f>
        <v>396.22</v>
      </c>
      <c r="F23" s="3">
        <v>548.00699999999995</v>
      </c>
      <c r="G23" s="6">
        <f>AVERAGE(F23:F24)</f>
        <v>549.28800000000001</v>
      </c>
      <c r="H23" s="30">
        <f>G23-E23</f>
        <v>153.06799999999998</v>
      </c>
      <c r="I23" s="17"/>
    </row>
    <row r="24" spans="1:9">
      <c r="A24" s="12">
        <v>31</v>
      </c>
      <c r="B24" s="1" t="s">
        <v>11</v>
      </c>
      <c r="C24" s="3">
        <v>2</v>
      </c>
      <c r="D24" s="3">
        <v>396.26400000000001</v>
      </c>
      <c r="E24" s="3"/>
      <c r="F24" s="3">
        <v>550.56899999999996</v>
      </c>
      <c r="G24" s="3"/>
      <c r="H24" s="12"/>
      <c r="I24" s="17"/>
    </row>
    <row r="25" spans="1:9">
      <c r="A25" s="4">
        <v>32</v>
      </c>
      <c r="B25" s="2" t="s">
        <v>12</v>
      </c>
      <c r="C25" s="4">
        <v>1</v>
      </c>
      <c r="D25" s="4">
        <v>408.44</v>
      </c>
      <c r="E25" s="4">
        <f>AVERAGE(D25:D26)</f>
        <v>409.78999999999996</v>
      </c>
      <c r="F25" s="4">
        <v>574.89400000000001</v>
      </c>
      <c r="G25" s="7">
        <f>AVERAGE(F25:F26)</f>
        <v>570.32799999999997</v>
      </c>
      <c r="H25" s="7">
        <f>G25-E25</f>
        <v>160.53800000000001</v>
      </c>
      <c r="I25" s="17"/>
    </row>
    <row r="26" spans="1:9">
      <c r="A26" s="4">
        <v>33</v>
      </c>
      <c r="B26" s="2" t="s">
        <v>12</v>
      </c>
      <c r="C26" s="4">
        <v>2</v>
      </c>
      <c r="D26" s="4">
        <v>411.14</v>
      </c>
      <c r="E26" s="4"/>
      <c r="F26" s="4">
        <v>565.76199999999994</v>
      </c>
      <c r="G26" s="4"/>
      <c r="H26" s="4"/>
      <c r="I26" s="17"/>
    </row>
    <row r="27" spans="1:9">
      <c r="A27" s="12">
        <v>34</v>
      </c>
      <c r="B27" s="1" t="s">
        <v>13</v>
      </c>
      <c r="C27" s="3">
        <v>1</v>
      </c>
      <c r="D27" s="3">
        <v>394.452</v>
      </c>
      <c r="E27" s="3">
        <f>AVERAGE(D27:D29)</f>
        <v>395.53399999999993</v>
      </c>
      <c r="F27" s="3">
        <v>563.44500000000005</v>
      </c>
      <c r="G27" s="6">
        <f>AVERAGE(F27:F29)</f>
        <v>561.08166666666659</v>
      </c>
      <c r="H27" s="30">
        <f>G27-E27</f>
        <v>165.54766666666666</v>
      </c>
      <c r="I27" s="17"/>
    </row>
    <row r="28" spans="1:9">
      <c r="A28" s="12">
        <v>35</v>
      </c>
      <c r="B28" s="1" t="s">
        <v>13</v>
      </c>
      <c r="C28" s="3">
        <v>2</v>
      </c>
      <c r="D28" s="3">
        <v>395.39</v>
      </c>
      <c r="E28" s="3"/>
      <c r="F28" s="3">
        <v>567.43799999999999</v>
      </c>
      <c r="G28" s="3"/>
      <c r="H28" s="12"/>
      <c r="I28" s="17"/>
    </row>
    <row r="29" spans="1:9">
      <c r="A29" s="12">
        <v>36</v>
      </c>
      <c r="B29" s="1" t="s">
        <v>13</v>
      </c>
      <c r="C29" s="3">
        <v>3</v>
      </c>
      <c r="D29" s="3">
        <v>396.76</v>
      </c>
      <c r="E29" s="3"/>
      <c r="F29" s="3">
        <v>552.36199999999997</v>
      </c>
      <c r="G29" s="3"/>
      <c r="H29" s="12"/>
      <c r="I29" s="17"/>
    </row>
    <row r="30" spans="1:9">
      <c r="A30" s="4">
        <v>37</v>
      </c>
      <c r="B30" s="2" t="s">
        <v>14</v>
      </c>
      <c r="C30" s="4">
        <v>1</v>
      </c>
      <c r="D30" s="4">
        <v>405.53300000000002</v>
      </c>
      <c r="E30" s="4">
        <f>AVERAGE(D30:D32)</f>
        <v>405.51866666666666</v>
      </c>
      <c r="F30" s="4">
        <v>570.43299999999999</v>
      </c>
      <c r="G30" s="7">
        <f>AVERAGE(F30:F32)</f>
        <v>563.17866666666669</v>
      </c>
      <c r="H30" s="7">
        <f>G30-E30</f>
        <v>157.66000000000003</v>
      </c>
      <c r="I30" s="17"/>
    </row>
    <row r="31" spans="1:9">
      <c r="A31" s="4">
        <v>38</v>
      </c>
      <c r="B31" s="2" t="s">
        <v>14</v>
      </c>
      <c r="C31" s="4">
        <v>2</v>
      </c>
      <c r="D31" s="4">
        <v>405.96600000000001</v>
      </c>
      <c r="E31" s="4"/>
      <c r="F31" s="4">
        <v>565.5</v>
      </c>
      <c r="G31" s="4"/>
      <c r="H31" s="4"/>
      <c r="I31" s="17"/>
    </row>
    <row r="32" spans="1:9">
      <c r="A32" s="4">
        <v>39</v>
      </c>
      <c r="B32" s="2" t="s">
        <v>14</v>
      </c>
      <c r="C32" s="4">
        <v>3</v>
      </c>
      <c r="D32" s="4">
        <v>405.05700000000002</v>
      </c>
      <c r="E32" s="4"/>
      <c r="F32" s="4">
        <v>553.60299999999995</v>
      </c>
      <c r="G32" s="4"/>
      <c r="H32" s="4"/>
      <c r="I32" s="1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>
      <selection activeCell="D32" sqref="D32"/>
    </sheetView>
  </sheetViews>
  <sheetFormatPr baseColWidth="10" defaultRowHeight="15" x14ac:dyDescent="0"/>
  <cols>
    <col min="2" max="2" width="13.6640625" customWidth="1"/>
    <col min="3" max="3" width="5.33203125" customWidth="1"/>
  </cols>
  <sheetData>
    <row r="1" spans="2:7">
      <c r="B1" s="8"/>
      <c r="C1" s="8"/>
      <c r="D1" s="8"/>
      <c r="E1" s="8"/>
      <c r="F1" s="8"/>
      <c r="G1" s="8"/>
    </row>
    <row r="2" spans="2:7">
      <c r="B2" s="8"/>
      <c r="C2" s="8"/>
      <c r="D2" s="8" t="s">
        <v>23</v>
      </c>
      <c r="E2" s="8"/>
      <c r="F2" s="8" t="s">
        <v>24</v>
      </c>
      <c r="G2" s="8"/>
    </row>
    <row r="3" spans="2:7">
      <c r="B3" s="8" t="s">
        <v>2</v>
      </c>
      <c r="C3" s="8" t="s">
        <v>18</v>
      </c>
      <c r="D3" s="8" t="s">
        <v>21</v>
      </c>
      <c r="E3" s="8" t="s">
        <v>22</v>
      </c>
      <c r="F3" s="8" t="s">
        <v>21</v>
      </c>
      <c r="G3" s="8" t="s">
        <v>17</v>
      </c>
    </row>
    <row r="4" spans="2:7">
      <c r="B4" s="23" t="s">
        <v>4</v>
      </c>
      <c r="C4" s="9">
        <v>1</v>
      </c>
      <c r="D4" s="9">
        <v>0.26300000000000001</v>
      </c>
      <c r="E4" s="33">
        <f>AVERAGE(D4:D6)</f>
        <v>7.7666666666666676E-2</v>
      </c>
      <c r="F4" s="9">
        <v>0.314</v>
      </c>
      <c r="G4" s="33">
        <f>AVERAGE(F4:F5)</f>
        <v>-0.48749999999999993</v>
      </c>
    </row>
    <row r="5" spans="2:7">
      <c r="B5" s="24" t="s">
        <v>4</v>
      </c>
      <c r="C5" s="10">
        <v>2</v>
      </c>
      <c r="D5" s="10">
        <v>-8.6999999999999994E-2</v>
      </c>
      <c r="E5" s="34"/>
      <c r="F5" s="10">
        <v>-1.2889999999999999</v>
      </c>
      <c r="G5" s="34"/>
    </row>
    <row r="6" spans="2:7">
      <c r="B6" s="24" t="s">
        <v>4</v>
      </c>
      <c r="C6" s="10">
        <v>3</v>
      </c>
      <c r="D6" s="10">
        <v>5.7000000000000002E-2</v>
      </c>
      <c r="E6" s="34"/>
      <c r="F6" s="10">
        <v>-0.36699999999999999</v>
      </c>
      <c r="G6" s="34"/>
    </row>
    <row r="7" spans="2:7">
      <c r="B7" s="25" t="s">
        <v>5</v>
      </c>
      <c r="C7" s="11">
        <v>1</v>
      </c>
      <c r="D7" s="3">
        <v>0.28000000000000003</v>
      </c>
      <c r="E7" s="35">
        <f>D7</f>
        <v>0.28000000000000003</v>
      </c>
      <c r="F7" s="11">
        <v>-0.63100000000000001</v>
      </c>
      <c r="G7" s="36">
        <f>AVERAGE(F7:F9)</f>
        <v>-1.0669999999999999</v>
      </c>
    </row>
    <row r="8" spans="2:7">
      <c r="B8" s="25" t="s">
        <v>5</v>
      </c>
      <c r="C8" s="11">
        <v>1</v>
      </c>
      <c r="D8" s="3"/>
      <c r="E8" s="35"/>
      <c r="F8" s="11">
        <v>-1.5289999999999999</v>
      </c>
      <c r="G8" s="36"/>
    </row>
    <row r="9" spans="2:7">
      <c r="B9" s="25" t="s">
        <v>5</v>
      </c>
      <c r="C9" s="11">
        <v>1</v>
      </c>
      <c r="D9" s="3"/>
      <c r="E9" s="35"/>
      <c r="F9" s="11">
        <v>-1.0409999999999999</v>
      </c>
      <c r="G9" s="36"/>
    </row>
    <row r="10" spans="2:7">
      <c r="B10" s="26" t="s">
        <v>6</v>
      </c>
      <c r="C10" s="10">
        <v>1</v>
      </c>
      <c r="D10" s="10">
        <v>0.245</v>
      </c>
      <c r="E10" s="34"/>
      <c r="F10" s="10">
        <v>0.318</v>
      </c>
      <c r="G10" s="34">
        <f>AVERAGE(F10:F12)</f>
        <v>0.33866666666666667</v>
      </c>
    </row>
    <row r="11" spans="2:7">
      <c r="B11" s="26" t="s">
        <v>6</v>
      </c>
      <c r="C11" s="10">
        <v>1</v>
      </c>
      <c r="D11" s="10"/>
      <c r="E11" s="34"/>
      <c r="F11" s="10">
        <v>0.26</v>
      </c>
      <c r="G11" s="34"/>
    </row>
    <row r="12" spans="2:7">
      <c r="B12" s="26" t="s">
        <v>6</v>
      </c>
      <c r="C12" s="10">
        <v>1</v>
      </c>
      <c r="D12" s="10"/>
      <c r="E12" s="34"/>
      <c r="F12" s="10">
        <v>0.438</v>
      </c>
      <c r="G12" s="34"/>
    </row>
    <row r="13" spans="2:7">
      <c r="B13" s="25" t="s">
        <v>7</v>
      </c>
      <c r="C13" s="11">
        <v>1</v>
      </c>
      <c r="D13" s="11">
        <v>0.29899999999999999</v>
      </c>
      <c r="E13" s="36">
        <f>D13</f>
        <v>0.29899999999999999</v>
      </c>
      <c r="F13" s="11">
        <v>0.26100000000000001</v>
      </c>
      <c r="G13" s="38">
        <f>AVERAGE(F13:F14)</f>
        <v>0.2535</v>
      </c>
    </row>
    <row r="14" spans="2:7">
      <c r="B14" s="25" t="s">
        <v>7</v>
      </c>
      <c r="C14" s="11">
        <v>1</v>
      </c>
      <c r="D14" s="11"/>
      <c r="E14" s="36"/>
      <c r="F14" s="11">
        <v>0.246</v>
      </c>
      <c r="G14" s="38"/>
    </row>
    <row r="15" spans="2:7">
      <c r="B15" s="26" t="s">
        <v>8</v>
      </c>
      <c r="C15" s="10">
        <v>1</v>
      </c>
      <c r="D15" s="10">
        <v>0.26200000000000001</v>
      </c>
      <c r="E15" s="34">
        <f>D15</f>
        <v>0.26200000000000001</v>
      </c>
      <c r="F15" s="10">
        <v>0.31900000000000001</v>
      </c>
      <c r="G15" s="37">
        <f>AVERAGE(F15:F16)</f>
        <v>0.30149999999999999</v>
      </c>
    </row>
    <row r="16" spans="2:7">
      <c r="B16" s="26" t="s">
        <v>8</v>
      </c>
      <c r="C16" s="10">
        <v>1</v>
      </c>
      <c r="D16" s="10"/>
      <c r="E16" s="34"/>
      <c r="F16" s="10">
        <v>0.28399999999999997</v>
      </c>
      <c r="G16" s="37"/>
    </row>
    <row r="17" spans="2:8">
      <c r="B17" s="25" t="s">
        <v>9</v>
      </c>
      <c r="C17" s="11">
        <v>1</v>
      </c>
      <c r="D17" s="11">
        <v>0.30599999999999999</v>
      </c>
      <c r="E17" s="36">
        <f>AVERAGE(D17:D19)</f>
        <v>0.33400000000000002</v>
      </c>
      <c r="F17" s="11">
        <v>0.39100000000000001</v>
      </c>
      <c r="G17" s="36">
        <f>AVERAGE(F17:F19)</f>
        <v>0.42899999999999999</v>
      </c>
    </row>
    <row r="18" spans="2:8">
      <c r="B18" s="25" t="s">
        <v>9</v>
      </c>
      <c r="C18" s="11">
        <v>2</v>
      </c>
      <c r="D18" s="11">
        <v>0.35399999999999998</v>
      </c>
      <c r="E18" s="36"/>
      <c r="F18" s="11">
        <v>0.34899999999999998</v>
      </c>
      <c r="G18" s="38"/>
    </row>
    <row r="19" spans="2:8">
      <c r="B19" s="25" t="s">
        <v>9</v>
      </c>
      <c r="C19" s="11">
        <v>3</v>
      </c>
      <c r="D19" s="11">
        <v>0.34200000000000003</v>
      </c>
      <c r="E19" s="36"/>
      <c r="F19" s="11">
        <v>0.54700000000000004</v>
      </c>
      <c r="G19" s="38"/>
    </row>
    <row r="20" spans="2:8">
      <c r="B20" s="27" t="s">
        <v>10</v>
      </c>
      <c r="C20" s="22">
        <v>1</v>
      </c>
      <c r="D20" s="11">
        <v>0.34799999999999998</v>
      </c>
      <c r="E20" s="37">
        <f>AVERAGE(D20:D22)</f>
        <v>0.31366666666666659</v>
      </c>
      <c r="F20" s="22">
        <v>0.36299999999999999</v>
      </c>
      <c r="G20" s="37">
        <f>AVERAGE(F20:F22)</f>
        <v>0.35866666666666669</v>
      </c>
    </row>
    <row r="21" spans="2:8">
      <c r="B21" s="27" t="s">
        <v>10</v>
      </c>
      <c r="C21" s="22">
        <v>2</v>
      </c>
      <c r="D21" s="11">
        <v>0.29399999999999998</v>
      </c>
      <c r="E21" s="37"/>
      <c r="F21" s="22">
        <v>0.377</v>
      </c>
      <c r="G21" s="37"/>
    </row>
    <row r="22" spans="2:8">
      <c r="B22" s="27" t="s">
        <v>10</v>
      </c>
      <c r="C22" s="22">
        <v>3</v>
      </c>
      <c r="D22" s="11">
        <v>0.29899999999999999</v>
      </c>
      <c r="E22" s="37"/>
      <c r="F22" s="22">
        <v>0.33600000000000002</v>
      </c>
      <c r="G22" s="37"/>
    </row>
    <row r="23" spans="2:8">
      <c r="B23" s="25" t="s">
        <v>11</v>
      </c>
      <c r="C23" s="11">
        <v>1</v>
      </c>
      <c r="D23" s="11">
        <v>0.37</v>
      </c>
      <c r="E23" s="36">
        <f>D23</f>
        <v>0.37</v>
      </c>
      <c r="F23" s="11">
        <v>0.40100000000000002</v>
      </c>
      <c r="G23" s="38">
        <f>AVERAGE(F23:F24)</f>
        <v>0.40800000000000003</v>
      </c>
    </row>
    <row r="24" spans="2:8">
      <c r="B24" s="25" t="s">
        <v>11</v>
      </c>
      <c r="C24" s="11">
        <v>1</v>
      </c>
      <c r="D24" s="11"/>
      <c r="E24" s="36"/>
      <c r="F24" s="11">
        <v>0.41499999999999998</v>
      </c>
      <c r="G24" s="38"/>
    </row>
    <row r="25" spans="2:8">
      <c r="B25" s="26" t="s">
        <v>12</v>
      </c>
      <c r="C25" s="10">
        <v>1</v>
      </c>
      <c r="D25" s="10">
        <v>0.36799999999999999</v>
      </c>
      <c r="E25" s="34">
        <f>D25</f>
        <v>0.36799999999999999</v>
      </c>
      <c r="F25" s="10">
        <v>0.39800000000000002</v>
      </c>
      <c r="G25" s="39">
        <f>AVERAGE(F25:F26)</f>
        <v>0.39700000000000002</v>
      </c>
      <c r="H25" s="8"/>
    </row>
    <row r="26" spans="2:8">
      <c r="B26" s="26" t="s">
        <v>12</v>
      </c>
      <c r="C26" s="10">
        <v>1</v>
      </c>
      <c r="D26" s="10"/>
      <c r="E26" s="34"/>
      <c r="F26" s="10">
        <v>0.39600000000000002</v>
      </c>
      <c r="G26" s="39"/>
      <c r="H26" s="8"/>
    </row>
    <row r="27" spans="2:8">
      <c r="B27" s="25" t="s">
        <v>13</v>
      </c>
      <c r="C27" s="11">
        <v>1</v>
      </c>
      <c r="D27" s="11">
        <v>0.38400000000000001</v>
      </c>
      <c r="E27" s="36">
        <f>D27</f>
        <v>0.38400000000000001</v>
      </c>
      <c r="F27" s="11">
        <v>0.41199999999999998</v>
      </c>
      <c r="G27" s="40">
        <f>AVERAGE(F27:F29)</f>
        <v>0.41</v>
      </c>
      <c r="H27" s="8"/>
    </row>
    <row r="28" spans="2:8">
      <c r="B28" s="25" t="s">
        <v>13</v>
      </c>
      <c r="C28" s="11">
        <v>1</v>
      </c>
      <c r="D28" s="11"/>
      <c r="E28" s="36"/>
      <c r="F28" s="11">
        <v>0.39</v>
      </c>
      <c r="G28" s="40"/>
      <c r="H28" s="8"/>
    </row>
    <row r="29" spans="2:8">
      <c r="B29" s="25" t="s">
        <v>13</v>
      </c>
      <c r="C29" s="11">
        <v>1</v>
      </c>
      <c r="D29" s="11"/>
      <c r="E29" s="36"/>
      <c r="F29" s="11">
        <v>0.42799999999999999</v>
      </c>
      <c r="G29" s="40"/>
    </row>
    <row r="30" spans="2:8">
      <c r="B30" s="26" t="s">
        <v>14</v>
      </c>
      <c r="C30" s="10">
        <v>1</v>
      </c>
      <c r="D30" s="10">
        <v>0.33700000000000002</v>
      </c>
      <c r="E30" s="34">
        <f>D30</f>
        <v>0.33700000000000002</v>
      </c>
      <c r="F30" s="10">
        <v>0.41</v>
      </c>
      <c r="G30" s="39">
        <f>AVERAGE(F30:F32)</f>
        <v>0.41133333333333333</v>
      </c>
    </row>
    <row r="31" spans="2:8">
      <c r="B31" s="26" t="s">
        <v>14</v>
      </c>
      <c r="C31" s="10">
        <v>1</v>
      </c>
      <c r="D31" s="10"/>
      <c r="E31" s="34"/>
      <c r="F31" s="10">
        <v>0.41699999999999998</v>
      </c>
      <c r="G31" s="39"/>
    </row>
    <row r="32" spans="2:8">
      <c r="B32" s="26" t="s">
        <v>14</v>
      </c>
      <c r="C32" s="10">
        <v>1</v>
      </c>
      <c r="D32" s="10"/>
      <c r="E32" s="34"/>
      <c r="F32" s="10">
        <v>0.40699999999999997</v>
      </c>
      <c r="G32" s="39"/>
    </row>
    <row r="33" spans="2:6">
      <c r="B33" s="8"/>
      <c r="C33" s="8"/>
      <c r="D33" s="8"/>
      <c r="E33" s="8"/>
      <c r="F33" s="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39"/>
  <sheetViews>
    <sheetView workbookViewId="0">
      <selection activeCell="H9" sqref="H9"/>
    </sheetView>
  </sheetViews>
  <sheetFormatPr baseColWidth="10" defaultRowHeight="15" x14ac:dyDescent="0"/>
  <cols>
    <col min="2" max="2" width="13.5" customWidth="1"/>
    <col min="7" max="7" width="11.83203125" bestFit="1" customWidth="1"/>
    <col min="10" max="10" width="11.83203125" bestFit="1" customWidth="1"/>
    <col min="11" max="11" width="11.83203125" customWidth="1"/>
  </cols>
  <sheetData>
    <row r="1" spans="1:25">
      <c r="D1" s="73" t="s">
        <v>23</v>
      </c>
      <c r="E1" s="73"/>
      <c r="F1" s="28"/>
      <c r="G1" s="28"/>
      <c r="H1" s="73" t="s">
        <v>24</v>
      </c>
      <c r="I1" s="73"/>
      <c r="J1" s="72"/>
      <c r="K1" s="72"/>
    </row>
    <row r="2" spans="1:25">
      <c r="D2" t="s">
        <v>16</v>
      </c>
      <c r="E2" t="s">
        <v>16</v>
      </c>
    </row>
    <row r="3" spans="1:25">
      <c r="A3" s="21" t="s">
        <v>27</v>
      </c>
      <c r="B3" t="s">
        <v>2</v>
      </c>
      <c r="C3" t="s">
        <v>18</v>
      </c>
      <c r="D3" t="s">
        <v>3</v>
      </c>
      <c r="E3" t="s">
        <v>17</v>
      </c>
      <c r="H3" t="s">
        <v>3</v>
      </c>
      <c r="I3" t="s">
        <v>17</v>
      </c>
      <c r="S3" t="s">
        <v>28</v>
      </c>
      <c r="T3" t="s">
        <v>17</v>
      </c>
      <c r="U3" t="s">
        <v>29</v>
      </c>
      <c r="V3" t="s">
        <v>49</v>
      </c>
      <c r="Y3">
        <v>0</v>
      </c>
    </row>
    <row r="4" spans="1:25">
      <c r="A4" s="18">
        <v>11</v>
      </c>
      <c r="B4" s="5" t="s">
        <v>4</v>
      </c>
      <c r="C4" s="4">
        <v>1</v>
      </c>
      <c r="D4" s="4">
        <v>180</v>
      </c>
      <c r="E4" s="7">
        <f>AVERAGE(D4:D6)</f>
        <v>163.33333333333334</v>
      </c>
      <c r="F4" s="7">
        <f>D4*320</f>
        <v>57600</v>
      </c>
      <c r="G4" s="29"/>
      <c r="H4" s="4">
        <v>190</v>
      </c>
      <c r="I4" s="4">
        <f>AVERAGE(H4:H6)</f>
        <v>203.33333333333334</v>
      </c>
      <c r="J4" s="4">
        <f>H4-D4</f>
        <v>10</v>
      </c>
      <c r="K4" s="4">
        <f>AVERAGE(J4:J6)</f>
        <v>40</v>
      </c>
      <c r="L4" s="4">
        <f>H4*320</f>
        <v>60800</v>
      </c>
      <c r="M4" s="4">
        <f>L4/2</f>
        <v>30400</v>
      </c>
      <c r="N4" s="7">
        <f>AVERAGE(L4,F4)</f>
        <v>59200</v>
      </c>
      <c r="O4" s="7">
        <f>L4-F4</f>
        <v>3200</v>
      </c>
      <c r="P4" s="7">
        <f>O4*470</f>
        <v>1504000</v>
      </c>
      <c r="Q4" s="7">
        <f>P4/2</f>
        <v>752000</v>
      </c>
      <c r="R4" s="7">
        <f>AVERAGE(P4:P6)</f>
        <v>6016000</v>
      </c>
      <c r="S4" s="4">
        <f>(((LN(H4/D4)))/(2-0))</f>
        <v>2.7033610635137897E-2</v>
      </c>
      <c r="T4" s="4">
        <f>AVERAGE(S4:S6)</f>
        <v>0.10889358217064578</v>
      </c>
      <c r="U4" s="4">
        <f>STDEV(S4:S6)</f>
        <v>9.5440042813249082E-2</v>
      </c>
      <c r="Y4" s="12">
        <v>6402.666666666667</v>
      </c>
    </row>
    <row r="5" spans="1:25">
      <c r="A5" s="19">
        <v>12</v>
      </c>
      <c r="B5" s="5" t="s">
        <v>4</v>
      </c>
      <c r="C5" s="4">
        <v>2</v>
      </c>
      <c r="D5" s="4">
        <v>160</v>
      </c>
      <c r="E5" s="4"/>
      <c r="F5" s="7">
        <f t="shared" ref="F5:F32" si="0">D5*320</f>
        <v>51200</v>
      </c>
      <c r="G5" s="29"/>
      <c r="H5" s="4">
        <v>190</v>
      </c>
      <c r="I5" s="4"/>
      <c r="J5" s="4">
        <f t="shared" ref="J5:J6" si="1">H5-D5</f>
        <v>30</v>
      </c>
      <c r="K5" s="4"/>
      <c r="L5" s="4">
        <f t="shared" ref="L5:L32" si="2">H5*320</f>
        <v>60800</v>
      </c>
      <c r="M5" s="4">
        <f t="shared" ref="M5:M32" si="3">L5/2</f>
        <v>30400</v>
      </c>
      <c r="N5" s="7">
        <f t="shared" ref="N5:N6" si="4">AVERAGE(L5,F5)</f>
        <v>56000</v>
      </c>
      <c r="O5" s="7">
        <f t="shared" ref="O5:O32" si="5">L5-F5</f>
        <v>9600</v>
      </c>
      <c r="P5" s="7">
        <f t="shared" ref="P5:P32" si="6">O5*470</f>
        <v>4512000</v>
      </c>
      <c r="Q5" s="7">
        <f t="shared" ref="Q5:Q32" si="7">P5/2</f>
        <v>2256000</v>
      </c>
      <c r="R5" s="7"/>
      <c r="S5" s="4">
        <f t="shared" ref="S5:S6" si="8">(((LN(H5/D5)))/(2-0))</f>
        <v>8.5925128463329614E-2</v>
      </c>
      <c r="T5" s="4"/>
      <c r="U5" s="4"/>
      <c r="Y5" s="12">
        <v>14633</v>
      </c>
    </row>
    <row r="6" spans="1:25">
      <c r="A6" s="19">
        <v>13</v>
      </c>
      <c r="B6" s="5" t="s">
        <v>4</v>
      </c>
      <c r="C6" s="4">
        <v>3</v>
      </c>
      <c r="D6" s="4">
        <v>150</v>
      </c>
      <c r="E6" s="4"/>
      <c r="F6" s="7">
        <f t="shared" si="0"/>
        <v>48000</v>
      </c>
      <c r="G6" s="29"/>
      <c r="H6" s="4">
        <v>230</v>
      </c>
      <c r="I6" s="4"/>
      <c r="J6" s="4">
        <f t="shared" si="1"/>
        <v>80</v>
      </c>
      <c r="K6" s="4"/>
      <c r="L6" s="4">
        <f t="shared" si="2"/>
        <v>73600</v>
      </c>
      <c r="M6" s="4">
        <f t="shared" si="3"/>
        <v>36800</v>
      </c>
      <c r="N6" s="7">
        <f t="shared" si="4"/>
        <v>60800</v>
      </c>
      <c r="O6" s="7">
        <f t="shared" si="5"/>
        <v>25600</v>
      </c>
      <c r="P6" s="7">
        <f t="shared" si="6"/>
        <v>12032000</v>
      </c>
      <c r="Q6" s="7">
        <f t="shared" si="7"/>
        <v>6016000</v>
      </c>
      <c r="R6" s="7"/>
      <c r="S6" s="4">
        <f t="shared" si="8"/>
        <v>0.21372200741346983</v>
      </c>
      <c r="T6" s="4"/>
      <c r="U6" s="4"/>
      <c r="Y6" s="12">
        <v>30580.666666666668</v>
      </c>
    </row>
    <row r="7" spans="1:25">
      <c r="A7" s="20">
        <v>14</v>
      </c>
      <c r="B7" s="13" t="s">
        <v>5</v>
      </c>
      <c r="C7" s="12">
        <v>1</v>
      </c>
      <c r="D7" s="12">
        <v>140</v>
      </c>
      <c r="E7" s="12"/>
      <c r="F7" s="7">
        <f t="shared" si="0"/>
        <v>44800</v>
      </c>
      <c r="H7" s="3">
        <v>300</v>
      </c>
      <c r="I7" s="3">
        <f>AVERAGE(H7:H9)</f>
        <v>316.66666666666669</v>
      </c>
      <c r="J7" s="29">
        <f>H7-D7</f>
        <v>160</v>
      </c>
      <c r="K7" s="29">
        <f>J7-$K$4</f>
        <v>120</v>
      </c>
      <c r="L7" s="4">
        <f t="shared" si="2"/>
        <v>96000</v>
      </c>
      <c r="M7" s="4">
        <f t="shared" si="3"/>
        <v>48000</v>
      </c>
      <c r="N7" s="7">
        <f>AVERAGE(L7,F7)</f>
        <v>70400</v>
      </c>
      <c r="O7" s="7">
        <f t="shared" si="5"/>
        <v>51200</v>
      </c>
      <c r="P7" s="7">
        <f t="shared" si="6"/>
        <v>24064000</v>
      </c>
      <c r="Q7" s="7">
        <f t="shared" si="7"/>
        <v>12032000</v>
      </c>
      <c r="R7" s="7">
        <f>P7-$R$4</f>
        <v>18048000</v>
      </c>
      <c r="S7" s="3">
        <f>(((LN(H7/$D$7))/(2-0)))</f>
        <v>0.38107002602344836</v>
      </c>
      <c r="T7" s="3">
        <f>AVERAGE(S7:S9)</f>
        <v>0.40771147618043102</v>
      </c>
      <c r="U7" s="3">
        <f>STDEV(S7:S9)</f>
        <v>2.4320898131425867E-2</v>
      </c>
      <c r="V7">
        <f>T7-T4</f>
        <v>0.29881789400978526</v>
      </c>
      <c r="W7" s="3">
        <v>8.6712343901970537E-2</v>
      </c>
      <c r="Y7" s="12">
        <v>77549</v>
      </c>
    </row>
    <row r="8" spans="1:25">
      <c r="A8" s="20">
        <v>15</v>
      </c>
      <c r="B8" s="13" t="s">
        <v>5</v>
      </c>
      <c r="C8" s="12">
        <v>2</v>
      </c>
      <c r="D8" s="12"/>
      <c r="E8" s="12"/>
      <c r="F8" s="7">
        <f t="shared" si="0"/>
        <v>0</v>
      </c>
      <c r="H8" s="3">
        <v>320</v>
      </c>
      <c r="I8" s="3"/>
      <c r="J8" s="29">
        <f>H8-D7</f>
        <v>180</v>
      </c>
      <c r="K8" s="29">
        <f t="shared" ref="K8:K29" si="9">J8-$K$4</f>
        <v>140</v>
      </c>
      <c r="L8" s="4">
        <f t="shared" si="2"/>
        <v>102400</v>
      </c>
      <c r="M8" s="4">
        <f t="shared" si="3"/>
        <v>51200</v>
      </c>
      <c r="N8" s="7">
        <f>AVERAGE(L8,F7)</f>
        <v>73600</v>
      </c>
      <c r="O8" s="7">
        <f>L8-F7</f>
        <v>57600</v>
      </c>
      <c r="P8" s="7">
        <f t="shared" si="6"/>
        <v>27072000</v>
      </c>
      <c r="Q8" s="7">
        <f t="shared" si="7"/>
        <v>13536000</v>
      </c>
      <c r="R8" s="7">
        <f t="shared" ref="R8:R29" si="10">P8-$R$4</f>
        <v>21056000</v>
      </c>
      <c r="S8" s="3">
        <f t="shared" ref="S8:S9" si="11">(((LN(H8/$D$7))/(2-0)))</f>
        <v>0.41333928659223396</v>
      </c>
      <c r="T8" s="3"/>
      <c r="U8" s="3"/>
      <c r="Y8" s="12">
        <v>103088.33333333333</v>
      </c>
    </row>
    <row r="9" spans="1:25">
      <c r="A9" s="20">
        <v>16</v>
      </c>
      <c r="B9" s="13" t="s">
        <v>5</v>
      </c>
      <c r="C9" s="12">
        <v>3</v>
      </c>
      <c r="D9" s="12"/>
      <c r="E9" s="12"/>
      <c r="F9" s="7">
        <f t="shared" si="0"/>
        <v>0</v>
      </c>
      <c r="H9" s="3">
        <v>330</v>
      </c>
      <c r="I9" s="3"/>
      <c r="J9" s="29">
        <f>H9-D7</f>
        <v>190</v>
      </c>
      <c r="K9" s="29">
        <f t="shared" si="9"/>
        <v>150</v>
      </c>
      <c r="L9" s="4">
        <f t="shared" si="2"/>
        <v>105600</v>
      </c>
      <c r="M9" s="4">
        <f t="shared" si="3"/>
        <v>52800</v>
      </c>
      <c r="N9" s="7">
        <f>AVERAGE(L9,F7)</f>
        <v>75200</v>
      </c>
      <c r="O9" s="7">
        <f>L9-F7</f>
        <v>60800</v>
      </c>
      <c r="P9" s="7">
        <f t="shared" si="6"/>
        <v>28576000</v>
      </c>
      <c r="Q9" s="7">
        <f t="shared" si="7"/>
        <v>14288000</v>
      </c>
      <c r="R9" s="7">
        <f t="shared" si="10"/>
        <v>22560000</v>
      </c>
      <c r="S9" s="3">
        <f t="shared" si="11"/>
        <v>0.4287251159256108</v>
      </c>
      <c r="T9" s="3"/>
      <c r="U9" s="3"/>
    </row>
    <row r="10" spans="1:25">
      <c r="A10" s="19">
        <v>17</v>
      </c>
      <c r="B10" s="2" t="s">
        <v>6</v>
      </c>
      <c r="C10" s="4">
        <v>1</v>
      </c>
      <c r="D10" s="4"/>
      <c r="E10" s="4"/>
      <c r="F10" s="7">
        <f t="shared" si="0"/>
        <v>0</v>
      </c>
      <c r="G10" s="29"/>
      <c r="H10" s="4"/>
      <c r="I10" s="4"/>
      <c r="J10" s="4"/>
      <c r="K10" s="29"/>
      <c r="L10" s="4">
        <f t="shared" si="2"/>
        <v>0</v>
      </c>
      <c r="M10" s="4">
        <f t="shared" si="3"/>
        <v>0</v>
      </c>
      <c r="N10" s="4"/>
      <c r="O10" s="7">
        <f t="shared" si="5"/>
        <v>0</v>
      </c>
      <c r="P10" s="7">
        <f t="shared" si="6"/>
        <v>0</v>
      </c>
      <c r="Q10" s="7">
        <f t="shared" si="7"/>
        <v>0</v>
      </c>
      <c r="R10" s="7"/>
      <c r="S10" s="4"/>
      <c r="T10" s="4"/>
      <c r="U10" s="4"/>
    </row>
    <row r="11" spans="1:25">
      <c r="A11" s="19">
        <v>18</v>
      </c>
      <c r="B11" s="2" t="s">
        <v>6</v>
      </c>
      <c r="C11" s="4">
        <v>2</v>
      </c>
      <c r="D11" s="4"/>
      <c r="E11" s="4"/>
      <c r="F11" s="7">
        <f t="shared" si="0"/>
        <v>0</v>
      </c>
      <c r="G11" s="29"/>
      <c r="H11" s="4"/>
      <c r="I11" s="4"/>
      <c r="J11" s="4"/>
      <c r="K11" s="29"/>
      <c r="L11" s="4">
        <f t="shared" si="2"/>
        <v>0</v>
      </c>
      <c r="M11" s="4">
        <f t="shared" si="3"/>
        <v>0</v>
      </c>
      <c r="N11" s="4"/>
      <c r="O11" s="7">
        <f t="shared" si="5"/>
        <v>0</v>
      </c>
      <c r="P11" s="7">
        <f t="shared" si="6"/>
        <v>0</v>
      </c>
      <c r="Q11" s="7">
        <f t="shared" si="7"/>
        <v>0</v>
      </c>
      <c r="R11" s="7"/>
      <c r="S11" s="4"/>
      <c r="T11" s="4"/>
      <c r="U11" s="4"/>
    </row>
    <row r="12" spans="1:25">
      <c r="A12" s="19">
        <v>19</v>
      </c>
      <c r="B12" s="2" t="s">
        <v>6</v>
      </c>
      <c r="C12" s="4">
        <v>3</v>
      </c>
      <c r="D12" s="4"/>
      <c r="E12" s="4"/>
      <c r="F12" s="7">
        <f t="shared" si="0"/>
        <v>0</v>
      </c>
      <c r="G12" s="29"/>
      <c r="H12" s="4"/>
      <c r="I12" s="4"/>
      <c r="J12" s="4"/>
      <c r="K12" s="29"/>
      <c r="L12" s="4">
        <f t="shared" si="2"/>
        <v>0</v>
      </c>
      <c r="M12" s="4">
        <f t="shared" si="3"/>
        <v>0</v>
      </c>
      <c r="N12" s="4"/>
      <c r="O12" s="7">
        <f t="shared" si="5"/>
        <v>0</v>
      </c>
      <c r="P12" s="7">
        <f t="shared" si="6"/>
        <v>0</v>
      </c>
      <c r="Q12" s="7">
        <f t="shared" si="7"/>
        <v>0</v>
      </c>
      <c r="R12" s="7"/>
      <c r="S12" s="4"/>
      <c r="T12" s="4"/>
      <c r="U12" s="4"/>
    </row>
    <row r="13" spans="1:25">
      <c r="A13" s="20">
        <v>20</v>
      </c>
      <c r="B13" s="13" t="s">
        <v>7</v>
      </c>
      <c r="C13" s="12">
        <v>1</v>
      </c>
      <c r="D13" s="12">
        <v>170</v>
      </c>
      <c r="E13" s="12"/>
      <c r="F13" s="7">
        <f t="shared" si="0"/>
        <v>54400</v>
      </c>
      <c r="G13" s="29"/>
      <c r="H13" s="3">
        <v>370</v>
      </c>
      <c r="I13" s="3">
        <f>AVERAGE(H13:H14)</f>
        <v>420</v>
      </c>
      <c r="J13" s="3">
        <f>H13-D13</f>
        <v>200</v>
      </c>
      <c r="K13" s="29">
        <f t="shared" si="9"/>
        <v>160</v>
      </c>
      <c r="L13" s="4">
        <f t="shared" si="2"/>
        <v>118400</v>
      </c>
      <c r="M13" s="4">
        <f t="shared" si="3"/>
        <v>59200</v>
      </c>
      <c r="N13" s="7">
        <f>AVERAGE(L13,F13)</f>
        <v>86400</v>
      </c>
      <c r="O13" s="7">
        <f t="shared" si="5"/>
        <v>64000</v>
      </c>
      <c r="P13" s="7">
        <f t="shared" si="6"/>
        <v>30080000</v>
      </c>
      <c r="Q13" s="7">
        <f t="shared" si="7"/>
        <v>15040000</v>
      </c>
      <c r="R13" s="7">
        <f t="shared" si="10"/>
        <v>24064000</v>
      </c>
      <c r="S13" s="3">
        <f>(((LN(H13/$D$13))/(2-0)))</f>
        <v>0.38885228429400415</v>
      </c>
      <c r="T13" s="3">
        <f>AVERAGE(S13:S14)</f>
        <v>0.44865970656046272</v>
      </c>
      <c r="U13" s="3">
        <f>STDEV(S13:S14)</f>
        <v>8.4580467699800377E-2</v>
      </c>
      <c r="V13">
        <f>T13-T4</f>
        <v>0.33976612438981696</v>
      </c>
      <c r="W13">
        <v>8.4580467699800377E-2</v>
      </c>
    </row>
    <row r="14" spans="1:25">
      <c r="A14" s="20">
        <v>21</v>
      </c>
      <c r="B14" s="13" t="s">
        <v>7</v>
      </c>
      <c r="C14" s="12">
        <v>2</v>
      </c>
      <c r="D14" s="12"/>
      <c r="E14" s="12"/>
      <c r="F14" s="7">
        <f t="shared" si="0"/>
        <v>0</v>
      </c>
      <c r="G14" s="29"/>
      <c r="H14" s="3">
        <v>470</v>
      </c>
      <c r="I14" s="3"/>
      <c r="J14" s="3">
        <f>H14-D13</f>
        <v>300</v>
      </c>
      <c r="K14" s="29">
        <f t="shared" si="9"/>
        <v>260</v>
      </c>
      <c r="L14" s="4">
        <f t="shared" si="2"/>
        <v>150400</v>
      </c>
      <c r="M14" s="4">
        <f t="shared" si="3"/>
        <v>75200</v>
      </c>
      <c r="N14" s="7">
        <f>AVERAGE(L14,F13)</f>
        <v>102400</v>
      </c>
      <c r="O14" s="7">
        <f>L14-F13</f>
        <v>96000</v>
      </c>
      <c r="P14" s="7">
        <f t="shared" si="6"/>
        <v>45120000</v>
      </c>
      <c r="Q14" s="7">
        <f t="shared" si="7"/>
        <v>22560000</v>
      </c>
      <c r="R14" s="7">
        <f t="shared" si="10"/>
        <v>39104000</v>
      </c>
      <c r="S14" s="3">
        <f>(((LN(H14/$D$13))/(2-0)))</f>
        <v>0.50846712882692124</v>
      </c>
      <c r="T14" s="3"/>
      <c r="U14" s="3"/>
    </row>
    <row r="15" spans="1:25">
      <c r="A15" s="19">
        <v>22</v>
      </c>
      <c r="B15" s="2" t="s">
        <v>8</v>
      </c>
      <c r="C15" s="4">
        <v>1</v>
      </c>
      <c r="D15" s="4"/>
      <c r="E15" s="4"/>
      <c r="F15" s="7">
        <f t="shared" si="0"/>
        <v>0</v>
      </c>
      <c r="G15" s="29"/>
      <c r="H15" s="4"/>
      <c r="I15" s="4"/>
      <c r="J15" s="4"/>
      <c r="K15" s="29"/>
      <c r="L15" s="4">
        <f t="shared" si="2"/>
        <v>0</v>
      </c>
      <c r="M15" s="4">
        <f t="shared" si="3"/>
        <v>0</v>
      </c>
      <c r="N15" s="4"/>
      <c r="O15" s="7">
        <f t="shared" si="5"/>
        <v>0</v>
      </c>
      <c r="P15" s="7">
        <f t="shared" si="6"/>
        <v>0</v>
      </c>
      <c r="Q15" s="7">
        <f t="shared" si="7"/>
        <v>0</v>
      </c>
      <c r="R15" s="7"/>
      <c r="S15" s="4"/>
      <c r="T15" s="4"/>
      <c r="U15" s="4"/>
    </row>
    <row r="16" spans="1:25">
      <c r="A16" s="19">
        <v>23</v>
      </c>
      <c r="B16" s="2" t="s">
        <v>8</v>
      </c>
      <c r="C16" s="4">
        <v>2</v>
      </c>
      <c r="D16" s="4"/>
      <c r="E16" s="4"/>
      <c r="F16" s="7">
        <f t="shared" si="0"/>
        <v>0</v>
      </c>
      <c r="G16" s="29"/>
      <c r="H16" s="4"/>
      <c r="I16" s="4"/>
      <c r="J16" s="4"/>
      <c r="K16" s="29"/>
      <c r="L16" s="4">
        <f t="shared" si="2"/>
        <v>0</v>
      </c>
      <c r="M16" s="4">
        <f t="shared" si="3"/>
        <v>0</v>
      </c>
      <c r="N16" s="4"/>
      <c r="O16" s="7">
        <f t="shared" si="5"/>
        <v>0</v>
      </c>
      <c r="P16" s="7">
        <f t="shared" si="6"/>
        <v>0</v>
      </c>
      <c r="Q16" s="7">
        <f t="shared" si="7"/>
        <v>0</v>
      </c>
      <c r="R16" s="7"/>
      <c r="S16" s="4"/>
      <c r="T16" s="4"/>
      <c r="U16" s="4"/>
    </row>
    <row r="17" spans="1:23">
      <c r="A17" s="20">
        <v>24</v>
      </c>
      <c r="B17" s="13" t="s">
        <v>9</v>
      </c>
      <c r="C17" s="12">
        <v>1</v>
      </c>
      <c r="D17" s="12">
        <v>170</v>
      </c>
      <c r="E17" s="12">
        <f>AVERAGE(D17:D19)</f>
        <v>200</v>
      </c>
      <c r="F17" s="7">
        <f t="shared" si="0"/>
        <v>54400</v>
      </c>
      <c r="G17" s="29"/>
      <c r="H17" s="3">
        <v>340</v>
      </c>
      <c r="I17" s="3">
        <f>AVERAGE(H17:H19)</f>
        <v>360</v>
      </c>
      <c r="J17" s="3">
        <f>H17-D17</f>
        <v>170</v>
      </c>
      <c r="K17" s="29">
        <f t="shared" si="9"/>
        <v>130</v>
      </c>
      <c r="L17" s="4">
        <f t="shared" si="2"/>
        <v>108800</v>
      </c>
      <c r="M17" s="4">
        <f t="shared" si="3"/>
        <v>54400</v>
      </c>
      <c r="N17" s="7">
        <f>AVERAGE(L17,F17)</f>
        <v>81600</v>
      </c>
      <c r="O17" s="7">
        <f t="shared" si="5"/>
        <v>54400</v>
      </c>
      <c r="P17" s="7">
        <f t="shared" si="6"/>
        <v>25568000</v>
      </c>
      <c r="Q17" s="7">
        <f t="shared" si="7"/>
        <v>12784000</v>
      </c>
      <c r="R17" s="7">
        <f t="shared" si="10"/>
        <v>19552000</v>
      </c>
      <c r="S17" s="3">
        <f>((LN(H17/D17))/(2-0))</f>
        <v>0.34657359027997264</v>
      </c>
      <c r="T17" s="3">
        <f>AVERAGE(S17:S19)</f>
        <v>0.30083411599634591</v>
      </c>
      <c r="U17" s="3">
        <f>STDEV(S17:S19)</f>
        <v>7.9223093370731676E-2</v>
      </c>
      <c r="V17">
        <f>T17-T4</f>
        <v>0.19194053382570014</v>
      </c>
      <c r="W17">
        <v>7.9223093370731676E-2</v>
      </c>
    </row>
    <row r="18" spans="1:23">
      <c r="A18" s="20">
        <v>25</v>
      </c>
      <c r="B18" s="13" t="s">
        <v>9</v>
      </c>
      <c r="C18" s="12">
        <v>2</v>
      </c>
      <c r="D18" s="12">
        <v>250</v>
      </c>
      <c r="E18" s="12"/>
      <c r="F18" s="7">
        <f t="shared" si="0"/>
        <v>80000</v>
      </c>
      <c r="G18" s="29"/>
      <c r="H18" s="3">
        <v>380</v>
      </c>
      <c r="I18" s="3"/>
      <c r="J18" s="3">
        <f>H18-D18</f>
        <v>130</v>
      </c>
      <c r="K18" s="29">
        <f t="shared" si="9"/>
        <v>90</v>
      </c>
      <c r="L18" s="4">
        <f t="shared" si="2"/>
        <v>121600</v>
      </c>
      <c r="M18" s="4">
        <f t="shared" si="3"/>
        <v>60800</v>
      </c>
      <c r="N18" s="7">
        <f>AVERAGE(L18,F18)</f>
        <v>100800</v>
      </c>
      <c r="O18" s="7">
        <f>L18-F18</f>
        <v>41600</v>
      </c>
      <c r="P18" s="7">
        <f t="shared" si="6"/>
        <v>19552000</v>
      </c>
      <c r="Q18" s="7">
        <f t="shared" si="7"/>
        <v>9776000</v>
      </c>
      <c r="R18" s="7">
        <f t="shared" si="10"/>
        <v>13536000</v>
      </c>
      <c r="S18" s="3">
        <f t="shared" ref="S18:S19" si="12">((LN(H18/D18))/(2-0))</f>
        <v>0.20935516742909252</v>
      </c>
      <c r="T18" s="3"/>
      <c r="U18" s="3"/>
    </row>
    <row r="19" spans="1:23">
      <c r="A19" s="20">
        <v>26</v>
      </c>
      <c r="B19" s="13" t="s">
        <v>9</v>
      </c>
      <c r="C19" s="12">
        <v>3</v>
      </c>
      <c r="D19" s="12">
        <v>180</v>
      </c>
      <c r="E19" s="12"/>
      <c r="F19" s="7">
        <f t="shared" si="0"/>
        <v>57600</v>
      </c>
      <c r="G19" s="29"/>
      <c r="H19" s="3">
        <v>360</v>
      </c>
      <c r="I19" s="3"/>
      <c r="J19" s="3">
        <f>H19-D19</f>
        <v>180</v>
      </c>
      <c r="K19" s="29">
        <f t="shared" si="9"/>
        <v>140</v>
      </c>
      <c r="L19" s="4">
        <f t="shared" si="2"/>
        <v>115200</v>
      </c>
      <c r="M19" s="4">
        <f t="shared" si="3"/>
        <v>57600</v>
      </c>
      <c r="N19" s="7">
        <f>AVERAGE(L19,F19)</f>
        <v>86400</v>
      </c>
      <c r="O19" s="7">
        <f>L19-F19</f>
        <v>57600</v>
      </c>
      <c r="P19" s="7">
        <f t="shared" si="6"/>
        <v>27072000</v>
      </c>
      <c r="Q19" s="7">
        <f t="shared" si="7"/>
        <v>13536000</v>
      </c>
      <c r="R19" s="7">
        <f t="shared" si="10"/>
        <v>21056000</v>
      </c>
      <c r="S19" s="3">
        <f t="shared" si="12"/>
        <v>0.34657359027997264</v>
      </c>
      <c r="T19" s="3"/>
      <c r="U19" s="3"/>
    </row>
    <row r="20" spans="1:23">
      <c r="A20" s="19">
        <v>27</v>
      </c>
      <c r="B20" s="2" t="s">
        <v>10</v>
      </c>
      <c r="C20" s="4">
        <v>1</v>
      </c>
      <c r="D20" s="4"/>
      <c r="E20" s="4"/>
      <c r="F20" s="7">
        <f t="shared" si="0"/>
        <v>0</v>
      </c>
      <c r="G20" s="29"/>
      <c r="H20" s="4"/>
      <c r="I20" s="4"/>
      <c r="J20" s="4"/>
      <c r="K20" s="29"/>
      <c r="L20" s="4">
        <f t="shared" si="2"/>
        <v>0</v>
      </c>
      <c r="M20" s="4">
        <f t="shared" si="3"/>
        <v>0</v>
      </c>
      <c r="N20" s="4"/>
      <c r="O20" s="7">
        <f t="shared" si="5"/>
        <v>0</v>
      </c>
      <c r="P20" s="7">
        <f t="shared" si="6"/>
        <v>0</v>
      </c>
      <c r="Q20" s="7">
        <f t="shared" si="7"/>
        <v>0</v>
      </c>
      <c r="R20" s="7"/>
      <c r="S20" s="4"/>
      <c r="T20" s="4"/>
      <c r="U20" s="4"/>
    </row>
    <row r="21" spans="1:23">
      <c r="A21" s="19">
        <v>28</v>
      </c>
      <c r="B21" s="2" t="s">
        <v>10</v>
      </c>
      <c r="C21" s="4">
        <v>2</v>
      </c>
      <c r="D21" s="4"/>
      <c r="E21" s="4"/>
      <c r="F21" s="7">
        <f t="shared" si="0"/>
        <v>0</v>
      </c>
      <c r="G21" s="29"/>
      <c r="H21" s="4"/>
      <c r="I21" s="4"/>
      <c r="J21" s="4"/>
      <c r="K21" s="29"/>
      <c r="L21" s="4">
        <f t="shared" si="2"/>
        <v>0</v>
      </c>
      <c r="M21" s="4">
        <f t="shared" si="3"/>
        <v>0</v>
      </c>
      <c r="N21" s="4"/>
      <c r="O21" s="7">
        <f t="shared" si="5"/>
        <v>0</v>
      </c>
      <c r="P21" s="7">
        <f t="shared" si="6"/>
        <v>0</v>
      </c>
      <c r="Q21" s="7">
        <f t="shared" si="7"/>
        <v>0</v>
      </c>
      <c r="R21" s="7"/>
      <c r="S21" s="4"/>
      <c r="T21" s="4"/>
      <c r="U21" s="4"/>
    </row>
    <row r="22" spans="1:23">
      <c r="A22" s="19">
        <v>29</v>
      </c>
      <c r="B22" s="2" t="s">
        <v>10</v>
      </c>
      <c r="C22" s="4">
        <v>3</v>
      </c>
      <c r="D22" s="4"/>
      <c r="E22" s="4"/>
      <c r="F22" s="7">
        <f t="shared" si="0"/>
        <v>0</v>
      </c>
      <c r="G22" s="29"/>
      <c r="H22" s="4"/>
      <c r="I22" s="4"/>
      <c r="J22" s="4"/>
      <c r="K22" s="29"/>
      <c r="L22" s="4">
        <f t="shared" si="2"/>
        <v>0</v>
      </c>
      <c r="M22" s="4">
        <f t="shared" si="3"/>
        <v>0</v>
      </c>
      <c r="N22" s="4"/>
      <c r="O22" s="7">
        <f t="shared" si="5"/>
        <v>0</v>
      </c>
      <c r="P22" s="7">
        <f t="shared" si="6"/>
        <v>0</v>
      </c>
      <c r="Q22" s="7">
        <f t="shared" si="7"/>
        <v>0</v>
      </c>
      <c r="R22" s="7"/>
      <c r="S22" s="4"/>
      <c r="T22" s="4"/>
      <c r="U22" s="4"/>
    </row>
    <row r="23" spans="1:23">
      <c r="A23" s="20">
        <v>30</v>
      </c>
      <c r="B23" s="13" t="s">
        <v>11</v>
      </c>
      <c r="C23" s="12">
        <v>1</v>
      </c>
      <c r="D23" s="12">
        <v>320</v>
      </c>
      <c r="E23" s="12"/>
      <c r="F23" s="7">
        <f t="shared" si="0"/>
        <v>102400</v>
      </c>
      <c r="G23" s="29"/>
      <c r="H23" s="3">
        <v>390</v>
      </c>
      <c r="I23" s="3">
        <f>AVERAGE(H23:H24)</f>
        <v>420</v>
      </c>
      <c r="J23" s="3">
        <f>H23-D23</f>
        <v>70</v>
      </c>
      <c r="K23" s="29">
        <f t="shared" si="9"/>
        <v>30</v>
      </c>
      <c r="L23" s="4">
        <f t="shared" si="2"/>
        <v>124800</v>
      </c>
      <c r="M23" s="4">
        <f t="shared" si="3"/>
        <v>62400</v>
      </c>
      <c r="N23" s="7">
        <f>AVERAGE(L23,F23)</f>
        <v>113600</v>
      </c>
      <c r="O23" s="7">
        <f t="shared" si="5"/>
        <v>22400</v>
      </c>
      <c r="P23" s="7">
        <f t="shared" si="6"/>
        <v>10528000</v>
      </c>
      <c r="Q23" s="7">
        <f t="shared" si="7"/>
        <v>5264000</v>
      </c>
      <c r="R23" s="7">
        <f t="shared" si="10"/>
        <v>4512000</v>
      </c>
      <c r="S23" s="3">
        <f>(((LN(H23/$D$23))/(2-0)))</f>
        <v>9.8912871664959934E-2</v>
      </c>
      <c r="T23" s="3">
        <f>AVERAGE(S23:S24)</f>
        <v>0.13468808257512827</v>
      </c>
      <c r="U23" s="3">
        <f>STDEV(S23:S24)</f>
        <v>5.0593788465917902E-2</v>
      </c>
      <c r="V23">
        <f>T23-T4</f>
        <v>2.5794500404482487E-2</v>
      </c>
      <c r="W23">
        <v>5.0593788465917902E-2</v>
      </c>
    </row>
    <row r="24" spans="1:23">
      <c r="A24" s="20">
        <v>31</v>
      </c>
      <c r="B24" s="13" t="s">
        <v>11</v>
      </c>
      <c r="C24" s="12">
        <v>2</v>
      </c>
      <c r="D24" s="12"/>
      <c r="E24" s="12"/>
      <c r="F24" s="7">
        <f t="shared" si="0"/>
        <v>0</v>
      </c>
      <c r="G24" s="29"/>
      <c r="H24" s="3">
        <v>450</v>
      </c>
      <c r="I24" s="3"/>
      <c r="J24" s="3">
        <f>H24-D23</f>
        <v>130</v>
      </c>
      <c r="K24" s="29">
        <f t="shared" si="9"/>
        <v>90</v>
      </c>
      <c r="L24" s="4">
        <f t="shared" si="2"/>
        <v>144000</v>
      </c>
      <c r="M24" s="4">
        <f t="shared" si="3"/>
        <v>72000</v>
      </c>
      <c r="N24" s="7">
        <f>AVERAGE(L24,F23)</f>
        <v>123200</v>
      </c>
      <c r="O24" s="7">
        <f>L24-F23</f>
        <v>41600</v>
      </c>
      <c r="P24" s="7">
        <f t="shared" si="6"/>
        <v>19552000</v>
      </c>
      <c r="Q24" s="7">
        <f t="shared" si="7"/>
        <v>9776000</v>
      </c>
      <c r="R24" s="7">
        <f t="shared" si="10"/>
        <v>13536000</v>
      </c>
      <c r="S24" s="3">
        <f>(((LN(H24/$D$23))/(2-0)))</f>
        <v>0.1704632934852966</v>
      </c>
      <c r="T24" s="3"/>
      <c r="U24" s="3"/>
    </row>
    <row r="25" spans="1:23">
      <c r="A25" s="19">
        <v>32</v>
      </c>
      <c r="B25" s="2" t="s">
        <v>12</v>
      </c>
      <c r="C25" s="4">
        <v>1</v>
      </c>
      <c r="D25" s="4"/>
      <c r="E25" s="4"/>
      <c r="F25" s="7">
        <f t="shared" si="0"/>
        <v>0</v>
      </c>
      <c r="G25" s="29"/>
      <c r="H25" s="4"/>
      <c r="I25" s="4"/>
      <c r="J25" s="4"/>
      <c r="K25" s="29"/>
      <c r="L25" s="4">
        <f t="shared" si="2"/>
        <v>0</v>
      </c>
      <c r="M25" s="4">
        <f t="shared" si="3"/>
        <v>0</v>
      </c>
      <c r="N25" s="4"/>
      <c r="O25" s="7">
        <f t="shared" si="5"/>
        <v>0</v>
      </c>
      <c r="P25" s="7">
        <f t="shared" si="6"/>
        <v>0</v>
      </c>
      <c r="Q25" s="7">
        <f t="shared" si="7"/>
        <v>0</v>
      </c>
      <c r="R25" s="7"/>
      <c r="S25" s="4"/>
      <c r="T25" s="4"/>
      <c r="U25" s="4"/>
    </row>
    <row r="26" spans="1:23">
      <c r="A26" s="19">
        <v>33</v>
      </c>
      <c r="B26" s="2" t="s">
        <v>12</v>
      </c>
      <c r="C26" s="4">
        <v>2</v>
      </c>
      <c r="D26" s="4"/>
      <c r="E26" s="4"/>
      <c r="F26" s="7">
        <f t="shared" si="0"/>
        <v>0</v>
      </c>
      <c r="G26" s="29"/>
      <c r="H26" s="4"/>
      <c r="I26" s="4"/>
      <c r="J26" s="4"/>
      <c r="K26" s="29"/>
      <c r="L26" s="4">
        <f t="shared" si="2"/>
        <v>0</v>
      </c>
      <c r="M26" s="4">
        <f t="shared" si="3"/>
        <v>0</v>
      </c>
      <c r="N26" s="4"/>
      <c r="O26" s="7">
        <f t="shared" si="5"/>
        <v>0</v>
      </c>
      <c r="P26" s="7">
        <f t="shared" si="6"/>
        <v>0</v>
      </c>
      <c r="Q26" s="7">
        <f t="shared" si="7"/>
        <v>0</v>
      </c>
      <c r="R26" s="7"/>
      <c r="S26" s="4"/>
      <c r="T26" s="4"/>
      <c r="U26" s="4"/>
    </row>
    <row r="27" spans="1:23">
      <c r="A27" s="20">
        <v>34</v>
      </c>
      <c r="B27" s="13" t="s">
        <v>13</v>
      </c>
      <c r="C27" s="12">
        <v>1</v>
      </c>
      <c r="D27" s="12">
        <v>240</v>
      </c>
      <c r="E27" s="12"/>
      <c r="F27" s="7">
        <f t="shared" si="0"/>
        <v>76800</v>
      </c>
      <c r="G27" s="29"/>
      <c r="H27" s="3">
        <v>300</v>
      </c>
      <c r="I27" s="3">
        <f>AVERAGE(H27:H29)</f>
        <v>330</v>
      </c>
      <c r="J27" s="3">
        <f>H27-D27</f>
        <v>60</v>
      </c>
      <c r="K27" s="29">
        <f t="shared" si="9"/>
        <v>20</v>
      </c>
      <c r="L27" s="4">
        <f t="shared" si="2"/>
        <v>96000</v>
      </c>
      <c r="M27" s="4">
        <f t="shared" si="3"/>
        <v>48000</v>
      </c>
      <c r="N27" s="7">
        <f>AVERAGE(L27,F27)</f>
        <v>86400</v>
      </c>
      <c r="O27" s="7">
        <f t="shared" si="5"/>
        <v>19200</v>
      </c>
      <c r="P27" s="7">
        <f t="shared" si="6"/>
        <v>9024000</v>
      </c>
      <c r="Q27" s="7">
        <f t="shared" si="7"/>
        <v>4512000</v>
      </c>
      <c r="R27" s="7">
        <f t="shared" si="10"/>
        <v>3008000</v>
      </c>
      <c r="S27" s="3">
        <f>(((LN(H27/$D$27))/(2-0)))</f>
        <v>0.11157177565710488</v>
      </c>
      <c r="T27" s="3">
        <f>AVERAGE(S27:S29)</f>
        <v>0.15784373175681812</v>
      </c>
      <c r="U27" s="3">
        <f>STDEV(S27:S29)</f>
        <v>4.5596125644864878E-2</v>
      </c>
      <c r="V27">
        <f>T27-T4</f>
        <v>4.8950149586172345E-2</v>
      </c>
      <c r="W27">
        <v>4.5596125644864878E-2</v>
      </c>
    </row>
    <row r="28" spans="1:23">
      <c r="A28" s="20">
        <v>35</v>
      </c>
      <c r="B28" s="13" t="s">
        <v>13</v>
      </c>
      <c r="C28" s="12">
        <v>2</v>
      </c>
      <c r="D28" s="12"/>
      <c r="E28" s="12"/>
      <c r="F28" s="7">
        <f t="shared" si="0"/>
        <v>0</v>
      </c>
      <c r="G28" s="29"/>
      <c r="H28" s="3">
        <v>330</v>
      </c>
      <c r="I28" s="3"/>
      <c r="J28" s="3">
        <f>H28-D27</f>
        <v>90</v>
      </c>
      <c r="K28" s="29">
        <f t="shared" si="9"/>
        <v>50</v>
      </c>
      <c r="L28" s="4">
        <f t="shared" si="2"/>
        <v>105600</v>
      </c>
      <c r="M28" s="4">
        <f t="shared" si="3"/>
        <v>52800</v>
      </c>
      <c r="N28" s="7">
        <f>AVERAGE(L28,F27)</f>
        <v>91200</v>
      </c>
      <c r="O28" s="7">
        <f>L28-F27</f>
        <v>28800</v>
      </c>
      <c r="P28" s="7">
        <f t="shared" si="6"/>
        <v>13536000</v>
      </c>
      <c r="Q28" s="7">
        <f t="shared" si="7"/>
        <v>6768000</v>
      </c>
      <c r="R28" s="7">
        <f t="shared" si="10"/>
        <v>7520000</v>
      </c>
      <c r="S28" s="3">
        <f t="shared" ref="S28:S29" si="13">(((LN(H28/$D$27))/(2-0)))</f>
        <v>0.15922686555926729</v>
      </c>
      <c r="T28" s="3"/>
      <c r="U28" s="3"/>
    </row>
    <row r="29" spans="1:23">
      <c r="A29" s="20">
        <v>36</v>
      </c>
      <c r="B29" s="13" t="s">
        <v>13</v>
      </c>
      <c r="C29" s="12">
        <v>3</v>
      </c>
      <c r="D29" s="12"/>
      <c r="E29" s="12"/>
      <c r="F29" s="7">
        <f t="shared" si="0"/>
        <v>0</v>
      </c>
      <c r="G29" s="29"/>
      <c r="H29" s="3">
        <v>360</v>
      </c>
      <c r="I29" s="3"/>
      <c r="J29" s="3">
        <f>H29-D27</f>
        <v>120</v>
      </c>
      <c r="K29" s="29">
        <f t="shared" si="9"/>
        <v>80</v>
      </c>
      <c r="L29" s="4">
        <f t="shared" si="2"/>
        <v>115200</v>
      </c>
      <c r="M29" s="4">
        <f t="shared" si="3"/>
        <v>57600</v>
      </c>
      <c r="N29" s="7">
        <f>AVERAGE(L29,F27)</f>
        <v>96000</v>
      </c>
      <c r="O29" s="7">
        <f>L29-F27</f>
        <v>38400</v>
      </c>
      <c r="P29" s="7">
        <f t="shared" si="6"/>
        <v>18048000</v>
      </c>
      <c r="Q29" s="7">
        <f t="shared" si="7"/>
        <v>9024000</v>
      </c>
      <c r="R29" s="7">
        <f t="shared" si="10"/>
        <v>12032000</v>
      </c>
      <c r="S29" s="3">
        <f t="shared" si="13"/>
        <v>0.20273255405408219</v>
      </c>
      <c r="T29" s="3"/>
      <c r="U29" s="3"/>
    </row>
    <row r="30" spans="1:23">
      <c r="A30" s="19">
        <v>37</v>
      </c>
      <c r="B30" s="2" t="s">
        <v>14</v>
      </c>
      <c r="C30" s="4">
        <v>1</v>
      </c>
      <c r="D30" s="4"/>
      <c r="E30" s="4"/>
      <c r="F30" s="7">
        <f t="shared" si="0"/>
        <v>0</v>
      </c>
      <c r="G30" s="29"/>
      <c r="H30" s="4"/>
      <c r="I30" s="4"/>
      <c r="J30" s="4"/>
      <c r="K30" s="29"/>
      <c r="L30" s="4">
        <f t="shared" si="2"/>
        <v>0</v>
      </c>
      <c r="M30" s="4">
        <f t="shared" si="3"/>
        <v>0</v>
      </c>
      <c r="N30" s="4"/>
      <c r="O30" s="7">
        <f t="shared" si="5"/>
        <v>0</v>
      </c>
      <c r="P30" s="7">
        <f t="shared" si="6"/>
        <v>0</v>
      </c>
      <c r="Q30" s="7">
        <f t="shared" si="7"/>
        <v>0</v>
      </c>
      <c r="R30" s="7"/>
      <c r="S30" s="4"/>
      <c r="T30" s="4"/>
      <c r="U30" s="4"/>
    </row>
    <row r="31" spans="1:23">
      <c r="A31" s="19">
        <v>38</v>
      </c>
      <c r="B31" s="2" t="s">
        <v>14</v>
      </c>
      <c r="C31" s="4">
        <v>2</v>
      </c>
      <c r="D31" s="4"/>
      <c r="E31" s="4"/>
      <c r="F31" s="7">
        <f t="shared" si="0"/>
        <v>0</v>
      </c>
      <c r="G31" s="29"/>
      <c r="H31" s="4"/>
      <c r="I31" s="4"/>
      <c r="J31" s="4"/>
      <c r="K31" s="29"/>
      <c r="L31" s="4">
        <f t="shared" si="2"/>
        <v>0</v>
      </c>
      <c r="M31" s="4">
        <f t="shared" si="3"/>
        <v>0</v>
      </c>
      <c r="N31" s="4"/>
      <c r="O31" s="7">
        <f t="shared" si="5"/>
        <v>0</v>
      </c>
      <c r="P31" s="7">
        <f t="shared" si="6"/>
        <v>0</v>
      </c>
      <c r="Q31" s="7">
        <f t="shared" si="7"/>
        <v>0</v>
      </c>
      <c r="R31" s="7"/>
      <c r="S31" s="4"/>
      <c r="T31" s="4"/>
      <c r="U31" s="4"/>
    </row>
    <row r="32" spans="1:23">
      <c r="A32" s="2">
        <v>39</v>
      </c>
      <c r="B32" s="2" t="s">
        <v>14</v>
      </c>
      <c r="C32" s="4">
        <v>3</v>
      </c>
      <c r="D32" s="4"/>
      <c r="E32" s="4"/>
      <c r="F32" s="7">
        <f t="shared" si="0"/>
        <v>0</v>
      </c>
      <c r="G32" s="29"/>
      <c r="H32" s="4"/>
      <c r="I32" s="4"/>
      <c r="J32" s="4"/>
      <c r="K32" s="29"/>
      <c r="L32" s="4">
        <f t="shared" si="2"/>
        <v>0</v>
      </c>
      <c r="M32" s="4">
        <f t="shared" si="3"/>
        <v>0</v>
      </c>
      <c r="N32" s="4"/>
      <c r="O32" s="7">
        <f t="shared" si="5"/>
        <v>0</v>
      </c>
      <c r="P32" s="7">
        <f t="shared" si="6"/>
        <v>0</v>
      </c>
      <c r="Q32" s="7">
        <f t="shared" si="7"/>
        <v>0</v>
      </c>
      <c r="R32" s="7"/>
      <c r="S32" s="4"/>
      <c r="T32" s="4"/>
      <c r="U32" s="4"/>
    </row>
    <row r="36" spans="9:9">
      <c r="I36">
        <f>300-140</f>
        <v>160</v>
      </c>
    </row>
    <row r="37" spans="9:9">
      <c r="I37">
        <f>160/2</f>
        <v>80</v>
      </c>
    </row>
    <row r="38" spans="9:9">
      <c r="I38">
        <f>80*320</f>
        <v>25600</v>
      </c>
    </row>
    <row r="39" spans="9:9">
      <c r="I39">
        <f>25600*470</f>
        <v>12032000</v>
      </c>
    </row>
  </sheetData>
  <mergeCells count="2">
    <mergeCell ref="D1:E1"/>
    <mergeCell ref="H1:I1"/>
  </mergeCells>
  <phoneticPr fontId="4" type="noConversion"/>
  <pageMargins left="0.75" right="0.75" top="1" bottom="1" header="0.5" footer="0.5"/>
  <pageSetup scale="83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J29" sqref="J29"/>
    </sheetView>
  </sheetViews>
  <sheetFormatPr baseColWidth="10" defaultRowHeight="15" x14ac:dyDescent="0"/>
  <cols>
    <col min="3" max="3" width="12.1640625" bestFit="1" customWidth="1"/>
    <col min="15" max="16" width="12.1640625" bestFit="1" customWidth="1"/>
    <col min="26" max="26" width="12.1640625" bestFit="1" customWidth="1"/>
  </cols>
  <sheetData>
    <row r="1" spans="1:25">
      <c r="A1" s="8" t="s">
        <v>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>
      <c r="A3" s="8" t="s">
        <v>55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>
      <c r="A4" s="42" t="s">
        <v>56</v>
      </c>
      <c r="B4" s="42" t="s">
        <v>57</v>
      </c>
      <c r="C4" s="42" t="s">
        <v>58</v>
      </c>
      <c r="D4" s="8" t="s">
        <v>59</v>
      </c>
      <c r="E4" s="8"/>
      <c r="F4" s="4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>
      <c r="A5" s="42">
        <v>0</v>
      </c>
      <c r="B5" s="42"/>
      <c r="C5" s="42"/>
      <c r="D5" s="8">
        <v>0</v>
      </c>
      <c r="E5" s="8"/>
      <c r="F5" s="8"/>
      <c r="G5" s="8"/>
      <c r="H5" s="8"/>
      <c r="I5" s="8"/>
      <c r="J5" s="8"/>
      <c r="K5" s="8"/>
      <c r="L5" s="8" t="s">
        <v>60</v>
      </c>
      <c r="M5" s="8"/>
      <c r="N5" s="8" t="s">
        <v>61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>
      <c r="A6" s="42">
        <v>100</v>
      </c>
      <c r="B6" s="42"/>
      <c r="C6" s="42">
        <v>39749609</v>
      </c>
      <c r="D6" s="8">
        <f>SQRT(C6)</f>
        <v>6304.7290980659909</v>
      </c>
      <c r="E6" s="8"/>
      <c r="F6" s="8"/>
      <c r="G6" s="8"/>
      <c r="H6" s="8"/>
      <c r="I6" s="8"/>
      <c r="J6" s="8"/>
      <c r="K6" s="8">
        <v>5000</v>
      </c>
      <c r="L6" s="43">
        <v>1.7125582832835891</v>
      </c>
      <c r="M6" s="44">
        <v>0.12198582338400095</v>
      </c>
      <c r="N6" s="56">
        <v>7.2796040994380791</v>
      </c>
      <c r="O6" s="56">
        <v>1.1827428844789583</v>
      </c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>
      <c r="A7" s="8">
        <v>500</v>
      </c>
      <c r="B7" s="8"/>
      <c r="C7" s="8">
        <v>298141666</v>
      </c>
      <c r="D7" s="8">
        <f t="shared" ref="D7:D12" si="0">SQRT(C7)</f>
        <v>17266.779259607159</v>
      </c>
      <c r="E7" s="8"/>
      <c r="F7" s="8"/>
      <c r="G7" s="8"/>
      <c r="H7" s="8"/>
      <c r="I7" s="8"/>
      <c r="J7" s="8"/>
      <c r="K7" s="8">
        <v>12000</v>
      </c>
      <c r="L7" s="8">
        <v>1.7402116792801474</v>
      </c>
      <c r="M7" s="8">
        <v>0.40007806439156846</v>
      </c>
      <c r="N7" s="8">
        <v>6.9248699921061849</v>
      </c>
      <c r="O7" s="8">
        <v>0.47448308851896626</v>
      </c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>
      <c r="A8" s="8">
        <v>1000</v>
      </c>
      <c r="B8" s="8"/>
      <c r="C8" s="8">
        <v>1023551194</v>
      </c>
      <c r="D8" s="8">
        <f t="shared" si="0"/>
        <v>31992.986637699207</v>
      </c>
      <c r="E8" s="8"/>
      <c r="F8" s="8"/>
      <c r="G8" s="8"/>
      <c r="H8" s="8"/>
      <c r="I8" s="8"/>
      <c r="J8" s="8"/>
      <c r="K8" s="8">
        <v>30000</v>
      </c>
      <c r="L8" s="8">
        <v>1.5741613869535522</v>
      </c>
      <c r="M8" s="8">
        <v>0.32349005058087127</v>
      </c>
      <c r="N8" s="8">
        <v>6.9878007651750655</v>
      </c>
      <c r="O8" s="8">
        <v>0.44432430622026409</v>
      </c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>
      <c r="A9" s="8">
        <v>2500</v>
      </c>
      <c r="B9" s="42"/>
      <c r="C9" s="42">
        <v>6298318165</v>
      </c>
      <c r="D9" s="8">
        <f t="shared" si="0"/>
        <v>79361.944060109818</v>
      </c>
      <c r="E9" s="8"/>
      <c r="F9" s="8"/>
      <c r="G9" s="8"/>
      <c r="H9" s="8"/>
      <c r="I9" s="8"/>
      <c r="J9" s="8"/>
      <c r="K9" s="8">
        <v>55000</v>
      </c>
      <c r="L9" s="8">
        <v>1.6344524447747482</v>
      </c>
      <c r="M9" s="8">
        <v>2.069938842074821E-2</v>
      </c>
      <c r="N9" s="8">
        <v>3.952881016709306</v>
      </c>
      <c r="O9" s="8">
        <v>0.35598072579804424</v>
      </c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>
      <c r="A10" s="8">
        <v>5000</v>
      </c>
      <c r="B10" s="42"/>
      <c r="C10" s="42">
        <v>19118424189</v>
      </c>
      <c r="D10" s="8">
        <f t="shared" si="0"/>
        <v>138269.38992054603</v>
      </c>
      <c r="E10" s="8"/>
      <c r="F10" s="8"/>
      <c r="G10" s="8"/>
      <c r="H10" s="8"/>
      <c r="I10" s="8"/>
      <c r="J10" s="8"/>
      <c r="K10" s="8">
        <v>80000</v>
      </c>
      <c r="L10" s="8">
        <v>1.3410411090774346</v>
      </c>
      <c r="M10" s="8">
        <v>0.1331561050354727</v>
      </c>
      <c r="N10" s="8">
        <v>3.3345709872793665</v>
      </c>
      <c r="O10" s="8">
        <v>0.1246357218300596</v>
      </c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>
      <c r="A11" s="8">
        <v>7500</v>
      </c>
      <c r="B11" s="42"/>
      <c r="C11" s="42">
        <v>28875452142</v>
      </c>
      <c r="D11" s="8">
        <f t="shared" si="0"/>
        <v>169927.78507942721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43"/>
      <c r="U11" s="44"/>
      <c r="V11" s="8"/>
      <c r="W11" s="8"/>
      <c r="X11" s="8"/>
      <c r="Y11" s="8"/>
    </row>
    <row r="12" spans="1:25">
      <c r="A12" s="8">
        <v>10000</v>
      </c>
      <c r="B12" s="42"/>
      <c r="C12" s="42">
        <v>29982542787</v>
      </c>
      <c r="D12" s="8">
        <f t="shared" si="0"/>
        <v>173154.67879038095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>
      <c r="A13" s="8"/>
      <c r="B13" s="4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>
      <c r="A16" s="8" t="s">
        <v>62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v>0.94</v>
      </c>
      <c r="O16" s="8">
        <f>N16/1*10^-12</f>
        <v>9.3999999999999983E-13</v>
      </c>
      <c r="P16" s="8">
        <f>O16/134.19</f>
        <v>7.0049929204858773E-15</v>
      </c>
      <c r="Q16" s="8">
        <f>P16*1*10^15</f>
        <v>7.0049929204858774</v>
      </c>
      <c r="R16" s="8"/>
      <c r="S16" s="8"/>
      <c r="T16" s="8"/>
      <c r="U16" s="8"/>
      <c r="V16" s="8"/>
      <c r="W16" s="8"/>
      <c r="X16" s="8"/>
      <c r="Y16" s="8"/>
    </row>
    <row r="17" spans="1:25">
      <c r="A17" s="45">
        <v>4.9999999999999997E-12</v>
      </c>
      <c r="B17" s="4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v>19.7</v>
      </c>
      <c r="O17" s="8">
        <f>N17/1*10^-12</f>
        <v>1.97E-11</v>
      </c>
      <c r="P17" s="8">
        <f>O17/134.19</f>
        <v>1.4680676652507639E-13</v>
      </c>
      <c r="Q17" s="8">
        <f>P17*1*10^15</f>
        <v>146.8067665250764</v>
      </c>
      <c r="R17" s="8"/>
      <c r="S17" s="8"/>
      <c r="T17" s="8"/>
      <c r="U17" s="8"/>
      <c r="V17" s="8"/>
      <c r="W17" s="8"/>
      <c r="X17" s="8"/>
      <c r="Y17" s="8"/>
    </row>
    <row r="18" spans="1:25">
      <c r="A18" s="8" t="s">
        <v>63</v>
      </c>
      <c r="B18" s="8">
        <v>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>
      <c r="A21" s="46" t="s">
        <v>1</v>
      </c>
      <c r="B21" s="46"/>
      <c r="C21" s="47" t="s">
        <v>2</v>
      </c>
      <c r="D21" s="47"/>
      <c r="E21" s="47" t="s">
        <v>18</v>
      </c>
      <c r="F21" s="47" t="s">
        <v>64</v>
      </c>
      <c r="G21" s="47" t="s">
        <v>65</v>
      </c>
      <c r="H21" s="47" t="s">
        <v>58</v>
      </c>
      <c r="I21" s="48" t="s">
        <v>66</v>
      </c>
      <c r="J21" s="49" t="s">
        <v>67</v>
      </c>
      <c r="K21" s="49" t="s">
        <v>68</v>
      </c>
      <c r="L21" s="49" t="s">
        <v>69</v>
      </c>
      <c r="M21" s="49" t="s">
        <v>70</v>
      </c>
      <c r="N21" s="49" t="s">
        <v>71</v>
      </c>
      <c r="O21" s="50" t="s">
        <v>72</v>
      </c>
      <c r="P21" s="50"/>
      <c r="Q21" s="50"/>
      <c r="R21" s="49" t="s">
        <v>73</v>
      </c>
      <c r="S21" s="49" t="s">
        <v>74</v>
      </c>
      <c r="T21" s="49" t="s">
        <v>75</v>
      </c>
      <c r="U21" s="51" t="s">
        <v>76</v>
      </c>
      <c r="V21" s="8"/>
      <c r="W21" s="8"/>
      <c r="X21" s="8"/>
      <c r="Y21" s="8"/>
    </row>
    <row r="22" spans="1:25">
      <c r="A22" s="26" t="s">
        <v>23</v>
      </c>
      <c r="B22" s="52"/>
      <c r="C22" s="52" t="s">
        <v>4</v>
      </c>
      <c r="D22" s="52"/>
      <c r="E22" s="52">
        <v>1</v>
      </c>
      <c r="F22" s="53">
        <v>1</v>
      </c>
      <c r="G22" s="54"/>
      <c r="H22" s="54">
        <v>366642403</v>
      </c>
      <c r="I22" s="55">
        <f>SQRT(H22)</f>
        <v>19147.908580312367</v>
      </c>
      <c r="J22" s="10">
        <f>(0.0323*I22)-9.79</f>
        <v>608.68744714408956</v>
      </c>
      <c r="K22" s="10">
        <v>0</v>
      </c>
      <c r="L22" s="10">
        <f>K22*40</f>
        <v>0</v>
      </c>
      <c r="M22" s="10">
        <f>(J22/1000)*$B$18</f>
        <v>1.8260623414322685</v>
      </c>
      <c r="N22" s="10" t="e">
        <f>M22/L22</f>
        <v>#DIV/0!</v>
      </c>
      <c r="O22" s="56" t="e">
        <f>N22*1000000</f>
        <v>#DIV/0!</v>
      </c>
      <c r="P22" s="56"/>
      <c r="Q22" s="56"/>
      <c r="R22" s="57"/>
      <c r="S22" s="57"/>
      <c r="T22" s="57"/>
      <c r="U22" s="58"/>
      <c r="V22" s="59"/>
      <c r="W22" s="8"/>
      <c r="X22" s="8"/>
      <c r="Y22" s="8"/>
    </row>
    <row r="23" spans="1:25">
      <c r="A23" s="26" t="s">
        <v>23</v>
      </c>
      <c r="B23" s="52"/>
      <c r="C23" s="52" t="s">
        <v>4</v>
      </c>
      <c r="D23" s="52"/>
      <c r="E23" s="52">
        <v>2</v>
      </c>
      <c r="F23" s="53">
        <v>2</v>
      </c>
      <c r="G23" s="54"/>
      <c r="H23" s="54">
        <v>381398100</v>
      </c>
      <c r="I23" s="55">
        <f t="shared" ref="I23:I61" si="1">SQRT(H23)</f>
        <v>19529.416273918687</v>
      </c>
      <c r="J23" s="10">
        <f t="shared" ref="J23:J61" si="2">(0.0323*I23)-9.79</f>
        <v>621.01014564757361</v>
      </c>
      <c r="K23" s="10">
        <v>0</v>
      </c>
      <c r="L23" s="10">
        <f t="shared" ref="L23:L61" si="3">K23*40</f>
        <v>0</v>
      </c>
      <c r="M23" s="10">
        <f t="shared" ref="M23:M61" si="4">(J23/1000)*$B$18</f>
        <v>1.8630304369427209</v>
      </c>
      <c r="N23" s="10" t="e">
        <f t="shared" ref="N23:N60" si="5">M23/L23</f>
        <v>#DIV/0!</v>
      </c>
      <c r="O23" s="56" t="e">
        <f t="shared" ref="O23:O61" si="6">N23*1000000</f>
        <v>#DIV/0!</v>
      </c>
      <c r="P23" s="56"/>
      <c r="Q23" s="56"/>
      <c r="R23" s="57"/>
      <c r="S23" s="57"/>
      <c r="T23" s="57"/>
      <c r="U23" s="58"/>
      <c r="V23" s="59"/>
      <c r="W23" s="8"/>
      <c r="X23" s="8"/>
      <c r="Y23" s="8"/>
    </row>
    <row r="24" spans="1:25">
      <c r="A24" s="26" t="s">
        <v>23</v>
      </c>
      <c r="B24" s="52"/>
      <c r="C24" s="52" t="s">
        <v>4</v>
      </c>
      <c r="D24" s="52"/>
      <c r="E24" s="52">
        <v>3</v>
      </c>
      <c r="F24" s="53">
        <v>3</v>
      </c>
      <c r="G24" s="54"/>
      <c r="H24" s="54">
        <v>201158558</v>
      </c>
      <c r="I24" s="55">
        <f t="shared" si="1"/>
        <v>14183.037685911999</v>
      </c>
      <c r="J24" s="10">
        <f t="shared" si="2"/>
        <v>448.32211725495756</v>
      </c>
      <c r="K24" s="10">
        <v>0</v>
      </c>
      <c r="L24" s="10">
        <f t="shared" si="3"/>
        <v>0</v>
      </c>
      <c r="M24" s="10">
        <f t="shared" si="4"/>
        <v>1.3449663517648727</v>
      </c>
      <c r="N24" s="10" t="e">
        <f t="shared" si="5"/>
        <v>#DIV/0!</v>
      </c>
      <c r="O24" s="56" t="e">
        <f t="shared" si="6"/>
        <v>#DIV/0!</v>
      </c>
      <c r="P24" s="56"/>
      <c r="Q24" s="56"/>
      <c r="R24" s="57"/>
      <c r="S24" s="57"/>
      <c r="T24" s="57"/>
      <c r="U24" s="58"/>
      <c r="V24" s="59"/>
      <c r="W24" s="8"/>
      <c r="X24" s="8"/>
      <c r="Y24" s="8"/>
    </row>
    <row r="25" spans="1:25">
      <c r="A25" s="25" t="s">
        <v>23</v>
      </c>
      <c r="B25" s="60"/>
      <c r="C25" s="60" t="s">
        <v>77</v>
      </c>
      <c r="D25" s="60"/>
      <c r="E25" s="60">
        <v>1</v>
      </c>
      <c r="F25" s="61">
        <v>4</v>
      </c>
      <c r="G25" s="62"/>
      <c r="H25" s="62">
        <v>374616137</v>
      </c>
      <c r="I25" s="55">
        <f t="shared" si="1"/>
        <v>19355.002893309007</v>
      </c>
      <c r="J25" s="10">
        <f t="shared" si="2"/>
        <v>615.37659345388101</v>
      </c>
      <c r="K25" s="10">
        <v>23297</v>
      </c>
      <c r="L25" s="10">
        <f t="shared" si="3"/>
        <v>931880</v>
      </c>
      <c r="M25" s="10">
        <f t="shared" si="4"/>
        <v>1.8461297803616428</v>
      </c>
      <c r="N25" s="10">
        <f t="shared" si="5"/>
        <v>1.9810810194034027E-6</v>
      </c>
      <c r="O25" s="56">
        <f t="shared" si="6"/>
        <v>1.9810810194034028</v>
      </c>
      <c r="P25" s="56">
        <f>AVERAGE(O25:O27)</f>
        <v>2.0774770718566411</v>
      </c>
      <c r="Q25" s="56">
        <f>STDEV(O25:O27)</f>
        <v>0.1677126188435771</v>
      </c>
      <c r="R25" s="63"/>
      <c r="S25" s="63"/>
      <c r="T25" s="63"/>
      <c r="U25" s="58"/>
      <c r="V25" s="8"/>
      <c r="W25" s="8"/>
      <c r="X25" s="8"/>
      <c r="Y25" s="8"/>
    </row>
    <row r="26" spans="1:25">
      <c r="A26" s="25" t="s">
        <v>23</v>
      </c>
      <c r="B26" s="60"/>
      <c r="C26" s="60" t="s">
        <v>77</v>
      </c>
      <c r="D26" s="60"/>
      <c r="E26" s="60">
        <v>2</v>
      </c>
      <c r="F26" s="61">
        <v>5</v>
      </c>
      <c r="G26" s="62"/>
      <c r="H26" s="62">
        <v>385606652</v>
      </c>
      <c r="I26" s="55">
        <f t="shared" si="1"/>
        <v>19636.869709808638</v>
      </c>
      <c r="J26" s="10">
        <f t="shared" si="2"/>
        <v>624.48089162681913</v>
      </c>
      <c r="K26" s="10">
        <v>23652</v>
      </c>
      <c r="L26" s="10">
        <f t="shared" si="3"/>
        <v>946080</v>
      </c>
      <c r="M26" s="10">
        <f t="shared" si="4"/>
        <v>1.8734426748804571</v>
      </c>
      <c r="N26" s="10">
        <f t="shared" si="5"/>
        <v>1.9802159171322267E-6</v>
      </c>
      <c r="O26" s="56">
        <f t="shared" si="6"/>
        <v>1.9802159171322267</v>
      </c>
      <c r="P26" s="56"/>
      <c r="Q26" s="56"/>
      <c r="R26" s="63"/>
      <c r="S26" s="63"/>
      <c r="T26" s="63"/>
      <c r="U26" s="58"/>
      <c r="V26" s="8"/>
      <c r="W26" s="8"/>
      <c r="X26" s="8"/>
      <c r="Y26" s="8"/>
    </row>
    <row r="27" spans="1:25">
      <c r="A27" s="25" t="s">
        <v>23</v>
      </c>
      <c r="B27" s="60"/>
      <c r="C27" s="60" t="s">
        <v>77</v>
      </c>
      <c r="D27" s="60"/>
      <c r="E27" s="60">
        <v>3</v>
      </c>
      <c r="F27" s="61">
        <v>6</v>
      </c>
      <c r="G27" s="62"/>
      <c r="H27" s="62">
        <v>456117570</v>
      </c>
      <c r="I27" s="55">
        <f t="shared" si="1"/>
        <v>21356.909186490448</v>
      </c>
      <c r="J27" s="10">
        <f t="shared" si="2"/>
        <v>680.03816672364155</v>
      </c>
      <c r="K27" s="10">
        <v>22457</v>
      </c>
      <c r="L27" s="10">
        <f t="shared" si="3"/>
        <v>898280</v>
      </c>
      <c r="M27" s="10">
        <f t="shared" si="4"/>
        <v>2.0401145001709247</v>
      </c>
      <c r="N27" s="10">
        <f t="shared" si="5"/>
        <v>2.2711342790342931E-6</v>
      </c>
      <c r="O27" s="56">
        <f t="shared" si="6"/>
        <v>2.271134279034293</v>
      </c>
      <c r="P27" s="56"/>
      <c r="Q27" s="56"/>
      <c r="R27" s="63"/>
      <c r="S27" s="63"/>
      <c r="T27" s="63"/>
      <c r="U27" s="58"/>
      <c r="V27" s="8"/>
      <c r="W27" s="8"/>
      <c r="X27" s="8"/>
      <c r="Y27" s="8"/>
    </row>
    <row r="28" spans="1:25">
      <c r="A28" s="26" t="s">
        <v>23</v>
      </c>
      <c r="B28" s="52"/>
      <c r="C28" s="52" t="s">
        <v>78</v>
      </c>
      <c r="D28" s="52"/>
      <c r="E28" s="52">
        <v>1</v>
      </c>
      <c r="F28" s="53">
        <v>7</v>
      </c>
      <c r="G28" s="54"/>
      <c r="H28" s="54">
        <v>978530094</v>
      </c>
      <c r="I28" s="55">
        <f t="shared" si="1"/>
        <v>31281.46566259324</v>
      </c>
      <c r="J28" s="10">
        <f t="shared" si="2"/>
        <v>1000.6013409017618</v>
      </c>
      <c r="K28" s="11">
        <v>23426</v>
      </c>
      <c r="L28" s="10">
        <f t="shared" si="3"/>
        <v>937040</v>
      </c>
      <c r="M28" s="10">
        <f t="shared" si="4"/>
        <v>3.0018040227052856</v>
      </c>
      <c r="N28" s="10">
        <f t="shared" si="5"/>
        <v>3.2034961396581636E-6</v>
      </c>
      <c r="O28" s="56">
        <f t="shared" si="6"/>
        <v>3.2034961396581636</v>
      </c>
      <c r="P28" s="56">
        <f>AVERAGE(O28:O30)</f>
        <v>2.0156145898428925</v>
      </c>
      <c r="Q28" s="56">
        <f>STDEV(O28:O30)</f>
        <v>1.1368431134315327</v>
      </c>
      <c r="R28" s="57"/>
      <c r="S28" s="57"/>
      <c r="T28" s="57"/>
      <c r="U28" s="58"/>
      <c r="V28" s="59"/>
      <c r="W28" s="8"/>
      <c r="X28" s="8"/>
      <c r="Y28" s="8"/>
    </row>
    <row r="29" spans="1:25">
      <c r="A29" s="26" t="s">
        <v>23</v>
      </c>
      <c r="B29" s="52"/>
      <c r="C29" s="52" t="s">
        <v>78</v>
      </c>
      <c r="D29" s="52"/>
      <c r="E29" s="52">
        <v>2</v>
      </c>
      <c r="F29" s="53">
        <v>8</v>
      </c>
      <c r="G29" s="54"/>
      <c r="H29" s="54">
        <v>99634322</v>
      </c>
      <c r="I29" s="55">
        <f t="shared" si="1"/>
        <v>9981.6993543183817</v>
      </c>
      <c r="J29" s="10">
        <f t="shared" si="2"/>
        <v>312.61888914448372</v>
      </c>
      <c r="K29" s="11">
        <v>25001</v>
      </c>
      <c r="L29" s="10">
        <f t="shared" si="3"/>
        <v>1000040</v>
      </c>
      <c r="M29" s="10">
        <f t="shared" si="4"/>
        <v>0.9378566674334512</v>
      </c>
      <c r="N29" s="10">
        <f t="shared" si="5"/>
        <v>9.3781915466726446E-7</v>
      </c>
      <c r="O29" s="56">
        <f t="shared" si="6"/>
        <v>0.93781915466726451</v>
      </c>
      <c r="P29" s="56"/>
      <c r="Q29" s="56"/>
      <c r="R29" s="57"/>
      <c r="S29" s="57"/>
      <c r="T29" s="57"/>
      <c r="U29" s="58"/>
      <c r="V29" s="59"/>
      <c r="W29" s="8"/>
      <c r="X29" s="8"/>
      <c r="Y29" s="8"/>
    </row>
    <row r="30" spans="1:25">
      <c r="A30" s="26" t="s">
        <v>23</v>
      </c>
      <c r="B30" s="52"/>
      <c r="C30" s="52" t="s">
        <v>78</v>
      </c>
      <c r="D30" s="52"/>
      <c r="E30" s="52">
        <v>3</v>
      </c>
      <c r="F30" s="53">
        <v>9</v>
      </c>
      <c r="G30" s="54"/>
      <c r="H30" s="54">
        <v>417502204</v>
      </c>
      <c r="I30" s="55">
        <f t="shared" si="1"/>
        <v>20432.870674479393</v>
      </c>
      <c r="J30" s="10">
        <f t="shared" si="2"/>
        <v>650.19172278568442</v>
      </c>
      <c r="K30" s="11">
        <v>25591</v>
      </c>
      <c r="L30" s="10">
        <f t="shared" si="3"/>
        <v>1023640</v>
      </c>
      <c r="M30" s="10">
        <f t="shared" si="4"/>
        <v>1.9505751683570531</v>
      </c>
      <c r="N30" s="10">
        <f t="shared" si="5"/>
        <v>1.9055284752032484E-6</v>
      </c>
      <c r="O30" s="56">
        <f t="shared" si="6"/>
        <v>1.9055284752032484</v>
      </c>
      <c r="P30" s="56"/>
      <c r="Q30" s="56"/>
      <c r="R30" s="57"/>
      <c r="S30" s="57"/>
      <c r="T30" s="57"/>
      <c r="U30" s="58"/>
      <c r="V30" s="59"/>
      <c r="W30" s="8"/>
      <c r="X30" s="8"/>
      <c r="Y30" s="8"/>
    </row>
    <row r="31" spans="1:25" ht="16" thickBot="1">
      <c r="A31" s="64" t="s">
        <v>23</v>
      </c>
      <c r="B31" s="65"/>
      <c r="C31" s="65" t="s">
        <v>79</v>
      </c>
      <c r="D31" s="65"/>
      <c r="E31" s="65">
        <v>1</v>
      </c>
      <c r="F31" s="66">
        <v>10</v>
      </c>
      <c r="G31" s="67"/>
      <c r="H31" s="67">
        <v>91241</v>
      </c>
      <c r="I31" s="55">
        <f t="shared" si="1"/>
        <v>302.06125206653036</v>
      </c>
      <c r="J31" s="10">
        <f t="shared" si="2"/>
        <v>-3.3421558251067296E-2</v>
      </c>
      <c r="K31" s="68">
        <v>0</v>
      </c>
      <c r="L31" s="10">
        <f t="shared" si="3"/>
        <v>0</v>
      </c>
      <c r="M31" s="10">
        <f t="shared" si="4"/>
        <v>-1.0026467475320189E-4</v>
      </c>
      <c r="N31" s="10" t="e">
        <f t="shared" si="5"/>
        <v>#DIV/0!</v>
      </c>
      <c r="O31" s="56" t="e">
        <f t="shared" si="6"/>
        <v>#DIV/0!</v>
      </c>
      <c r="P31" s="69"/>
      <c r="Q31" s="69"/>
      <c r="R31" s="70"/>
      <c r="S31" s="70"/>
      <c r="T31" s="70"/>
      <c r="U31" s="71"/>
      <c r="V31" s="8"/>
      <c r="W31" s="8"/>
      <c r="X31" s="8"/>
      <c r="Y31" s="8"/>
    </row>
    <row r="32" spans="1:25" ht="16" thickTop="1">
      <c r="A32" s="26" t="s">
        <v>24</v>
      </c>
      <c r="B32" s="52"/>
      <c r="C32" s="52" t="s">
        <v>4</v>
      </c>
      <c r="D32" s="52"/>
      <c r="E32" s="52">
        <v>1</v>
      </c>
      <c r="F32" s="53">
        <v>11</v>
      </c>
      <c r="G32" s="54"/>
      <c r="H32" s="54">
        <v>16518691</v>
      </c>
      <c r="I32" s="55">
        <f t="shared" si="1"/>
        <v>4064.319254192515</v>
      </c>
      <c r="J32" s="10">
        <f t="shared" si="2"/>
        <v>121.48751191041825</v>
      </c>
      <c r="K32" s="10">
        <v>0</v>
      </c>
      <c r="L32" s="10">
        <f t="shared" si="3"/>
        <v>0</v>
      </c>
      <c r="M32" s="10">
        <f t="shared" si="4"/>
        <v>0.36446253573125476</v>
      </c>
      <c r="N32" s="10" t="e">
        <f t="shared" si="5"/>
        <v>#DIV/0!</v>
      </c>
      <c r="O32" s="56" t="e">
        <f t="shared" si="6"/>
        <v>#DIV/0!</v>
      </c>
      <c r="P32" s="56"/>
      <c r="Q32" s="56"/>
      <c r="R32" s="57"/>
      <c r="S32" s="57"/>
      <c r="T32" s="57"/>
      <c r="U32" s="58"/>
      <c r="V32" s="59"/>
      <c r="W32" s="8"/>
      <c r="X32" s="8"/>
      <c r="Y32" s="8"/>
    </row>
    <row r="33" spans="1:30">
      <c r="A33" s="26" t="s">
        <v>24</v>
      </c>
      <c r="B33" s="52"/>
      <c r="C33" s="52" t="s">
        <v>4</v>
      </c>
      <c r="D33" s="52"/>
      <c r="E33" s="52">
        <v>2</v>
      </c>
      <c r="F33" s="53">
        <v>12</v>
      </c>
      <c r="G33" s="54"/>
      <c r="H33" s="54">
        <v>103054</v>
      </c>
      <c r="I33" s="55">
        <f t="shared" si="1"/>
        <v>321.02024858254657</v>
      </c>
      <c r="J33" s="10">
        <f t="shared" si="2"/>
        <v>0.57895402921625561</v>
      </c>
      <c r="K33" s="10">
        <v>0</v>
      </c>
      <c r="L33" s="10">
        <f t="shared" si="3"/>
        <v>0</v>
      </c>
      <c r="M33" s="10">
        <f t="shared" si="4"/>
        <v>1.7368620876487668E-3</v>
      </c>
      <c r="N33" s="10" t="e">
        <f t="shared" si="5"/>
        <v>#DIV/0!</v>
      </c>
      <c r="O33" s="56" t="e">
        <f t="shared" si="6"/>
        <v>#DIV/0!</v>
      </c>
      <c r="P33" s="56"/>
      <c r="Q33" s="56"/>
      <c r="R33" s="57"/>
      <c r="S33" s="57"/>
      <c r="T33" s="57"/>
      <c r="U33" s="58"/>
      <c r="V33" s="59"/>
      <c r="W33" s="8"/>
      <c r="X33" s="8"/>
      <c r="Y33" s="8"/>
    </row>
    <row r="34" spans="1:30">
      <c r="A34" s="26" t="s">
        <v>24</v>
      </c>
      <c r="B34" s="52"/>
      <c r="C34" s="52" t="s">
        <v>4</v>
      </c>
      <c r="D34" s="52"/>
      <c r="E34" s="52">
        <v>3</v>
      </c>
      <c r="F34" s="53">
        <v>13</v>
      </c>
      <c r="G34" s="54"/>
      <c r="H34" s="54">
        <v>14664649</v>
      </c>
      <c r="I34" s="55">
        <f t="shared" si="1"/>
        <v>3829.4449989521981</v>
      </c>
      <c r="J34" s="10">
        <f t="shared" si="2"/>
        <v>113.90107346615602</v>
      </c>
      <c r="K34" s="10">
        <v>0</v>
      </c>
      <c r="L34" s="10">
        <f t="shared" si="3"/>
        <v>0</v>
      </c>
      <c r="M34" s="10">
        <f t="shared" si="4"/>
        <v>0.34170322039846807</v>
      </c>
      <c r="N34" s="10" t="e">
        <f t="shared" si="5"/>
        <v>#DIV/0!</v>
      </c>
      <c r="O34" s="56" t="e">
        <f t="shared" si="6"/>
        <v>#DIV/0!</v>
      </c>
      <c r="P34" s="56"/>
      <c r="Q34" s="56"/>
      <c r="R34" s="57"/>
      <c r="S34" s="57"/>
      <c r="T34" s="57"/>
      <c r="U34" s="58"/>
      <c r="V34" s="59"/>
      <c r="W34" s="8"/>
      <c r="X34" s="8"/>
      <c r="Y34" s="8"/>
    </row>
    <row r="35" spans="1:30">
      <c r="A35" s="25" t="s">
        <v>24</v>
      </c>
      <c r="B35" s="60"/>
      <c r="C35" s="60" t="s">
        <v>5</v>
      </c>
      <c r="D35" s="60"/>
      <c r="E35" s="60">
        <v>1</v>
      </c>
      <c r="F35" s="61">
        <v>14</v>
      </c>
      <c r="G35" s="62"/>
      <c r="H35" s="62">
        <v>30112370</v>
      </c>
      <c r="I35" s="55">
        <f t="shared" si="1"/>
        <v>5487.4739179334601</v>
      </c>
      <c r="J35" s="10">
        <f t="shared" si="2"/>
        <v>167.45540754925079</v>
      </c>
      <c r="K35" s="11">
        <v>1478</v>
      </c>
      <c r="L35" s="10">
        <f t="shared" si="3"/>
        <v>59120</v>
      </c>
      <c r="M35" s="10">
        <f t="shared" si="4"/>
        <v>0.50236622264775233</v>
      </c>
      <c r="N35" s="10">
        <f t="shared" si="5"/>
        <v>8.4973988945830905E-6</v>
      </c>
      <c r="O35" s="56">
        <f t="shared" si="6"/>
        <v>8.4973988945830907</v>
      </c>
      <c r="P35" s="56">
        <f>AVERAGE(O35:O37)</f>
        <v>7.2796040994380791</v>
      </c>
      <c r="Q35" s="56">
        <f>STDEV(O35:O37)</f>
        <v>1.1827428844789583</v>
      </c>
      <c r="R35" s="63"/>
      <c r="S35" s="63"/>
      <c r="T35" s="63"/>
      <c r="U35" s="58"/>
      <c r="V35" s="8"/>
      <c r="W35" s="8">
        <v>300</v>
      </c>
      <c r="X35" s="8">
        <f>W35*40</f>
        <v>12000</v>
      </c>
      <c r="Y35" s="8">
        <f>X35+L35</f>
        <v>71120</v>
      </c>
      <c r="Z35">
        <f>M35/Y35</f>
        <v>7.0636420507276761E-6</v>
      </c>
      <c r="AA35">
        <f>Z35*1000000</f>
        <v>7.063642050727676</v>
      </c>
      <c r="AB35">
        <f>AVERAGE(AA35:AA37)</f>
        <v>5.9093197905152737</v>
      </c>
      <c r="AC35">
        <f>STDEV(AA35:AA37)</f>
        <v>1.0688611260914667</v>
      </c>
      <c r="AD35">
        <f>AA35-O38</f>
        <v>5.2135835243651982</v>
      </c>
    </row>
    <row r="36" spans="1:30">
      <c r="A36" s="25" t="s">
        <v>24</v>
      </c>
      <c r="B36" s="60"/>
      <c r="C36" s="60" t="s">
        <v>5</v>
      </c>
      <c r="D36" s="60"/>
      <c r="E36" s="60">
        <v>2</v>
      </c>
      <c r="F36" s="61">
        <v>15</v>
      </c>
      <c r="G36" s="62"/>
      <c r="H36" s="62">
        <v>22687051</v>
      </c>
      <c r="I36" s="55">
        <f t="shared" si="1"/>
        <v>4763.0925878046919</v>
      </c>
      <c r="J36" s="10">
        <f>(0.0323*I36)-9.79</f>
        <v>144.05789058609156</v>
      </c>
      <c r="K36" s="11">
        <v>1761</v>
      </c>
      <c r="L36" s="10">
        <f t="shared" si="3"/>
        <v>70440</v>
      </c>
      <c r="M36" s="10">
        <f t="shared" si="4"/>
        <v>0.4321736717582747</v>
      </c>
      <c r="N36" s="10">
        <f t="shared" si="5"/>
        <v>6.1353445735132691E-6</v>
      </c>
      <c r="O36" s="56">
        <f t="shared" si="6"/>
        <v>6.1353445735132688</v>
      </c>
      <c r="P36" s="56"/>
      <c r="Q36" s="56"/>
      <c r="R36" s="63"/>
      <c r="S36" s="63"/>
      <c r="T36" s="63"/>
      <c r="U36" s="58"/>
      <c r="V36" s="8"/>
      <c r="W36" s="8">
        <v>420</v>
      </c>
      <c r="X36" s="8">
        <f t="shared" ref="X36:X57" si="7">W36*40</f>
        <v>16800</v>
      </c>
      <c r="Y36" s="8">
        <f t="shared" ref="Y36:Y57" si="8">X36+L36</f>
        <v>87240</v>
      </c>
      <c r="Z36">
        <f t="shared" ref="Z36:Z57" si="9">M36/Y36</f>
        <v>4.9538476817775639E-6</v>
      </c>
      <c r="AA36">
        <f t="shared" ref="AA36:AA57" si="10">Z36*1000000</f>
        <v>4.9538476817775638</v>
      </c>
      <c r="AD36">
        <f>AA36-O39</f>
        <v>3.2835668270913008</v>
      </c>
    </row>
    <row r="37" spans="1:30">
      <c r="A37" s="25" t="s">
        <v>24</v>
      </c>
      <c r="B37" s="60"/>
      <c r="C37" s="60" t="s">
        <v>5</v>
      </c>
      <c r="D37" s="60"/>
      <c r="E37" s="60">
        <v>3</v>
      </c>
      <c r="F37" s="61">
        <v>16</v>
      </c>
      <c r="G37" s="62"/>
      <c r="H37" s="62">
        <v>16411769</v>
      </c>
      <c r="I37" s="55">
        <f t="shared" si="1"/>
        <v>4051.1441593702884</v>
      </c>
      <c r="J37" s="10">
        <f t="shared" si="2"/>
        <v>121.06195634766033</v>
      </c>
      <c r="K37" s="11">
        <v>1260</v>
      </c>
      <c r="L37" s="10">
        <f t="shared" si="3"/>
        <v>50400</v>
      </c>
      <c r="M37" s="10">
        <f t="shared" si="4"/>
        <v>0.363185869042981</v>
      </c>
      <c r="N37" s="10">
        <f t="shared" si="5"/>
        <v>7.2060688302178773E-6</v>
      </c>
      <c r="O37" s="56">
        <f t="shared" si="6"/>
        <v>7.2060688302178777</v>
      </c>
      <c r="P37" s="56"/>
      <c r="Q37" s="56"/>
      <c r="R37" s="63"/>
      <c r="S37" s="63"/>
      <c r="T37" s="63"/>
      <c r="U37" s="58"/>
      <c r="V37" s="8"/>
      <c r="W37" s="8">
        <v>330</v>
      </c>
      <c r="X37" s="8">
        <f t="shared" si="7"/>
        <v>13200</v>
      </c>
      <c r="Y37" s="8">
        <f t="shared" si="8"/>
        <v>63600</v>
      </c>
      <c r="Z37">
        <f t="shared" si="9"/>
        <v>5.7104696390405816E-6</v>
      </c>
      <c r="AA37">
        <f t="shared" si="10"/>
        <v>5.710469639040582</v>
      </c>
      <c r="AD37">
        <f>AA37-O40</f>
        <v>4.0931341702385549</v>
      </c>
    </row>
    <row r="38" spans="1:30">
      <c r="A38" s="26" t="s">
        <v>24</v>
      </c>
      <c r="B38" s="52"/>
      <c r="C38" s="52" t="s">
        <v>6</v>
      </c>
      <c r="D38" s="52"/>
      <c r="E38" s="52">
        <v>1</v>
      </c>
      <c r="F38" s="53">
        <v>17</v>
      </c>
      <c r="G38" s="54"/>
      <c r="H38" s="54">
        <v>22687051</v>
      </c>
      <c r="I38" s="55">
        <f t="shared" si="1"/>
        <v>4763.0925878046919</v>
      </c>
      <c r="J38" s="10">
        <f t="shared" si="2"/>
        <v>144.05789058609156</v>
      </c>
      <c r="K38" s="10">
        <v>5840</v>
      </c>
      <c r="L38" s="10">
        <f t="shared" si="3"/>
        <v>233600</v>
      </c>
      <c r="M38" s="10">
        <f t="shared" si="4"/>
        <v>0.4321736717582747</v>
      </c>
      <c r="N38" s="10">
        <f t="shared" si="5"/>
        <v>1.8500585263624774E-6</v>
      </c>
      <c r="O38" s="56">
        <f t="shared" si="6"/>
        <v>1.8500585263624774</v>
      </c>
      <c r="P38" s="56">
        <f>AVERAGE(O38:O40)</f>
        <v>1.7125582832835891</v>
      </c>
      <c r="Q38" s="56">
        <f>STDEV(O38:O40)</f>
        <v>0.12198582338400095</v>
      </c>
      <c r="R38" s="57"/>
      <c r="S38" s="57"/>
      <c r="T38" s="57"/>
      <c r="U38" s="58"/>
      <c r="V38" s="59"/>
      <c r="W38" s="8"/>
      <c r="X38" s="8">
        <f t="shared" si="7"/>
        <v>0</v>
      </c>
      <c r="Y38" s="8"/>
      <c r="Z38" t="e">
        <f t="shared" si="9"/>
        <v>#DIV/0!</v>
      </c>
      <c r="AA38" t="e">
        <f t="shared" si="10"/>
        <v>#DIV/0!</v>
      </c>
    </row>
    <row r="39" spans="1:30">
      <c r="A39" s="26" t="s">
        <v>24</v>
      </c>
      <c r="B39" s="52"/>
      <c r="C39" s="52" t="s">
        <v>6</v>
      </c>
      <c r="D39" s="52"/>
      <c r="E39" s="52">
        <v>2</v>
      </c>
      <c r="F39" s="53">
        <v>18</v>
      </c>
      <c r="G39" s="54"/>
      <c r="H39" s="54">
        <v>16411769</v>
      </c>
      <c r="I39" s="55">
        <f t="shared" si="1"/>
        <v>4051.1441593702884</v>
      </c>
      <c r="J39" s="10">
        <f t="shared" si="2"/>
        <v>121.06195634766033</v>
      </c>
      <c r="K39" s="10">
        <v>5436</v>
      </c>
      <c r="L39" s="10">
        <f t="shared" si="3"/>
        <v>217440</v>
      </c>
      <c r="M39" s="10">
        <f t="shared" si="4"/>
        <v>0.363185869042981</v>
      </c>
      <c r="N39" s="10">
        <f t="shared" si="5"/>
        <v>1.6702808546862628E-6</v>
      </c>
      <c r="O39" s="56">
        <f t="shared" si="6"/>
        <v>1.6702808546862629</v>
      </c>
      <c r="P39" s="56"/>
      <c r="Q39" s="56"/>
      <c r="R39" s="57"/>
      <c r="S39" s="57"/>
      <c r="T39" s="57"/>
      <c r="U39" s="58"/>
      <c r="V39" s="59"/>
      <c r="W39" s="8"/>
      <c r="X39" s="8">
        <f t="shared" si="7"/>
        <v>0</v>
      </c>
      <c r="Y39" s="8"/>
      <c r="Z39" t="e">
        <f t="shared" si="9"/>
        <v>#DIV/0!</v>
      </c>
      <c r="AA39" t="e">
        <f t="shared" si="10"/>
        <v>#DIV/0!</v>
      </c>
    </row>
    <row r="40" spans="1:30">
      <c r="A40" s="26" t="s">
        <v>24</v>
      </c>
      <c r="B40" s="52"/>
      <c r="C40" s="52" t="s">
        <v>6</v>
      </c>
      <c r="D40" s="52"/>
      <c r="E40" s="52">
        <v>3</v>
      </c>
      <c r="F40" s="53">
        <v>19</v>
      </c>
      <c r="G40" s="54"/>
      <c r="H40" s="54">
        <v>15848948</v>
      </c>
      <c r="I40" s="55">
        <f t="shared" si="1"/>
        <v>3981.073724512019</v>
      </c>
      <c r="J40" s="10">
        <f t="shared" si="2"/>
        <v>118.79868130173824</v>
      </c>
      <c r="K40" s="10">
        <v>5509</v>
      </c>
      <c r="L40" s="10">
        <f t="shared" si="3"/>
        <v>220360</v>
      </c>
      <c r="M40" s="10">
        <f t="shared" si="4"/>
        <v>0.35639604390521473</v>
      </c>
      <c r="N40" s="10">
        <f t="shared" si="5"/>
        <v>1.6173354688020272E-6</v>
      </c>
      <c r="O40" s="56">
        <f t="shared" si="6"/>
        <v>1.6173354688020272</v>
      </c>
      <c r="P40" s="56"/>
      <c r="Q40" s="56"/>
      <c r="R40" s="57"/>
      <c r="S40" s="57"/>
      <c r="T40" s="57"/>
      <c r="U40" s="58"/>
      <c r="V40" s="59"/>
      <c r="W40" s="8"/>
      <c r="X40" s="8">
        <f t="shared" si="7"/>
        <v>0</v>
      </c>
      <c r="Y40" s="8"/>
      <c r="Z40" t="e">
        <f t="shared" si="9"/>
        <v>#DIV/0!</v>
      </c>
      <c r="AA40" t="e">
        <f t="shared" si="10"/>
        <v>#DIV/0!</v>
      </c>
    </row>
    <row r="41" spans="1:30">
      <c r="A41" s="25" t="s">
        <v>24</v>
      </c>
      <c r="B41" s="60"/>
      <c r="C41" s="60" t="s">
        <v>7</v>
      </c>
      <c r="D41" s="60"/>
      <c r="E41" s="60">
        <v>1</v>
      </c>
      <c r="F41" s="61">
        <v>20</v>
      </c>
      <c r="G41" s="62"/>
      <c r="H41" s="62">
        <v>58730680</v>
      </c>
      <c r="I41" s="55">
        <f t="shared" si="1"/>
        <v>7663.5944569111953</v>
      </c>
      <c r="J41" s="10">
        <f t="shared" si="2"/>
        <v>237.74410095823163</v>
      </c>
      <c r="K41" s="11">
        <v>2706</v>
      </c>
      <c r="L41" s="10">
        <f t="shared" si="3"/>
        <v>108240</v>
      </c>
      <c r="M41" s="10">
        <f t="shared" si="4"/>
        <v>0.71323230287469486</v>
      </c>
      <c r="N41" s="10">
        <f t="shared" si="5"/>
        <v>6.5893597826560871E-6</v>
      </c>
      <c r="O41" s="56">
        <f t="shared" si="6"/>
        <v>6.5893597826560875</v>
      </c>
      <c r="P41" s="56">
        <f>AVERAGE(O41:O42)</f>
        <v>6.9248699921061849</v>
      </c>
      <c r="Q41" s="56">
        <f>STDEV(O41:O42)</f>
        <v>0.47448308851896626</v>
      </c>
      <c r="R41" s="63"/>
      <c r="S41" s="63"/>
      <c r="T41" s="63"/>
      <c r="U41" s="58"/>
      <c r="V41" s="8"/>
      <c r="W41" s="8">
        <v>370</v>
      </c>
      <c r="X41" s="8">
        <f t="shared" si="7"/>
        <v>14800</v>
      </c>
      <c r="Y41" s="8">
        <f t="shared" si="8"/>
        <v>123040</v>
      </c>
      <c r="Z41">
        <f t="shared" si="9"/>
        <v>5.7967514863027869E-6</v>
      </c>
      <c r="AA41">
        <f t="shared" si="10"/>
        <v>5.7967514863027869</v>
      </c>
      <c r="AB41">
        <f>AVERAGE(AA41:AA42)</f>
        <v>5.9684248894430851</v>
      </c>
      <c r="AC41">
        <f>STDEV(AA41:AA42)</f>
        <v>0.24278285501975425</v>
      </c>
      <c r="AD41">
        <f>AA41-O43</f>
        <v>3.7736418946873735</v>
      </c>
    </row>
    <row r="42" spans="1:30">
      <c r="A42" s="25" t="s">
        <v>24</v>
      </c>
      <c r="B42" s="60"/>
      <c r="C42" s="60" t="s">
        <v>7</v>
      </c>
      <c r="D42" s="60"/>
      <c r="E42" s="60">
        <v>2</v>
      </c>
      <c r="F42" s="61">
        <v>21</v>
      </c>
      <c r="G42" s="62"/>
      <c r="H42" s="62">
        <v>64376954</v>
      </c>
      <c r="I42" s="55">
        <f t="shared" si="1"/>
        <v>8023.5250357931827</v>
      </c>
      <c r="J42" s="10">
        <f t="shared" si="2"/>
        <v>249.36985865611982</v>
      </c>
      <c r="K42" s="11">
        <v>2576</v>
      </c>
      <c r="L42" s="10">
        <f t="shared" si="3"/>
        <v>103040</v>
      </c>
      <c r="M42" s="10">
        <f t="shared" si="4"/>
        <v>0.74810957596835947</v>
      </c>
      <c r="N42" s="10">
        <f t="shared" si="5"/>
        <v>7.2603802015562834E-6</v>
      </c>
      <c r="O42" s="56">
        <f t="shared" si="6"/>
        <v>7.2603802015562833</v>
      </c>
      <c r="P42" s="56"/>
      <c r="Q42" s="56"/>
      <c r="R42" s="63"/>
      <c r="S42" s="63"/>
      <c r="T42" s="63"/>
      <c r="U42" s="58"/>
      <c r="V42" s="8"/>
      <c r="W42" s="8">
        <v>470</v>
      </c>
      <c r="X42" s="8">
        <f t="shared" si="7"/>
        <v>18800</v>
      </c>
      <c r="Y42" s="8">
        <f t="shared" si="8"/>
        <v>121840</v>
      </c>
      <c r="Z42">
        <f t="shared" si="9"/>
        <v>6.1400982925833838E-6</v>
      </c>
      <c r="AA42">
        <f t="shared" si="10"/>
        <v>6.1400982925833842</v>
      </c>
      <c r="AD42">
        <f>AA42-O44</f>
        <v>4.6827845256385032</v>
      </c>
    </row>
    <row r="43" spans="1:30">
      <c r="A43" s="26" t="s">
        <v>24</v>
      </c>
      <c r="B43" s="52"/>
      <c r="C43" s="52" t="s">
        <v>8</v>
      </c>
      <c r="D43" s="52"/>
      <c r="E43" s="52">
        <v>1</v>
      </c>
      <c r="F43" s="53">
        <v>22</v>
      </c>
      <c r="G43" s="54"/>
      <c r="H43" s="54">
        <v>143218615</v>
      </c>
      <c r="I43" s="55">
        <f t="shared" si="1"/>
        <v>11967.398004578939</v>
      </c>
      <c r="J43" s="10">
        <f t="shared" si="2"/>
        <v>376.75695554789974</v>
      </c>
      <c r="K43" s="10">
        <v>13967</v>
      </c>
      <c r="L43" s="10">
        <f t="shared" si="3"/>
        <v>558680</v>
      </c>
      <c r="M43" s="10">
        <f t="shared" si="4"/>
        <v>1.1302708666436991</v>
      </c>
      <c r="N43" s="10">
        <f t="shared" si="5"/>
        <v>2.0231095916154134E-6</v>
      </c>
      <c r="O43" s="56">
        <f t="shared" si="6"/>
        <v>2.0231095916154134</v>
      </c>
      <c r="P43" s="56">
        <f>AVERAGE(O43:O44)</f>
        <v>1.7402116792801474</v>
      </c>
      <c r="Q43" s="56">
        <f>STDEV(O43:O44)</f>
        <v>0.40007806439156846</v>
      </c>
      <c r="R43" s="57"/>
      <c r="S43" s="57"/>
      <c r="T43" s="57"/>
      <c r="U43" s="58"/>
      <c r="V43" s="59"/>
      <c r="W43" s="8"/>
      <c r="X43" s="8">
        <f t="shared" si="7"/>
        <v>0</v>
      </c>
      <c r="Y43" s="8"/>
      <c r="Z43" t="e">
        <f t="shared" si="9"/>
        <v>#DIV/0!</v>
      </c>
      <c r="AA43" t="e">
        <f t="shared" si="10"/>
        <v>#DIV/0!</v>
      </c>
    </row>
    <row r="44" spans="1:30">
      <c r="A44" s="26" t="s">
        <v>24</v>
      </c>
      <c r="B44" s="52"/>
      <c r="C44" s="52" t="s">
        <v>8</v>
      </c>
      <c r="D44" s="52"/>
      <c r="E44" s="52">
        <v>2</v>
      </c>
      <c r="F44" s="53">
        <v>23</v>
      </c>
      <c r="G44" s="54"/>
      <c r="H44" s="54">
        <v>76201505</v>
      </c>
      <c r="I44" s="55">
        <f t="shared" si="1"/>
        <v>8729.3473410100942</v>
      </c>
      <c r="J44" s="10">
        <f t="shared" si="2"/>
        <v>272.16791911462605</v>
      </c>
      <c r="K44" s="10">
        <v>14007</v>
      </c>
      <c r="L44" s="10">
        <f t="shared" si="3"/>
        <v>560280</v>
      </c>
      <c r="M44" s="10">
        <f t="shared" si="4"/>
        <v>0.81650375734387826</v>
      </c>
      <c r="N44" s="10">
        <f t="shared" si="5"/>
        <v>1.4573137669448815E-6</v>
      </c>
      <c r="O44" s="56">
        <f t="shared" si="6"/>
        <v>1.4573137669448815</v>
      </c>
      <c r="P44" s="56"/>
      <c r="Q44" s="56"/>
      <c r="R44" s="57"/>
      <c r="S44" s="57"/>
      <c r="T44" s="57"/>
      <c r="U44" s="58"/>
      <c r="V44" s="59"/>
      <c r="W44" s="8"/>
      <c r="X44" s="8">
        <f t="shared" si="7"/>
        <v>0</v>
      </c>
      <c r="Y44" s="8"/>
      <c r="Z44" t="e">
        <f t="shared" si="9"/>
        <v>#DIV/0!</v>
      </c>
      <c r="AA44" t="e">
        <f t="shared" si="10"/>
        <v>#DIV/0!</v>
      </c>
    </row>
    <row r="45" spans="1:30">
      <c r="A45" s="25" t="s">
        <v>24</v>
      </c>
      <c r="B45" s="60"/>
      <c r="C45" s="60" t="s">
        <v>9</v>
      </c>
      <c r="D45" s="60"/>
      <c r="E45" s="60">
        <v>1</v>
      </c>
      <c r="F45" s="61">
        <v>24</v>
      </c>
      <c r="G45" s="62"/>
      <c r="H45" s="62">
        <v>173462939</v>
      </c>
      <c r="I45" s="55">
        <f t="shared" si="1"/>
        <v>13170.532980862999</v>
      </c>
      <c r="J45" s="10">
        <f t="shared" si="2"/>
        <v>415.61821528187488</v>
      </c>
      <c r="K45" s="11">
        <v>4208</v>
      </c>
      <c r="L45" s="10">
        <f t="shared" si="3"/>
        <v>168320</v>
      </c>
      <c r="M45" s="10">
        <f t="shared" si="4"/>
        <v>1.2468546458456247</v>
      </c>
      <c r="N45" s="10">
        <f t="shared" si="5"/>
        <v>7.4076440461360783E-6</v>
      </c>
      <c r="O45" s="56">
        <f t="shared" si="6"/>
        <v>7.4076440461360784</v>
      </c>
      <c r="P45" s="56">
        <f>AVERAGE(O45:O47)</f>
        <v>6.9878007651750655</v>
      </c>
      <c r="Q45" s="56">
        <f>STDEV(O45:O47)</f>
        <v>0.44432430622026409</v>
      </c>
      <c r="R45" s="63"/>
      <c r="S45" s="63"/>
      <c r="T45" s="63"/>
      <c r="U45" s="58"/>
      <c r="V45" s="8"/>
      <c r="W45" s="8">
        <v>340</v>
      </c>
      <c r="X45" s="8">
        <f t="shared" si="7"/>
        <v>13600</v>
      </c>
      <c r="Y45" s="8">
        <f t="shared" si="8"/>
        <v>181920</v>
      </c>
      <c r="Z45">
        <f t="shared" si="9"/>
        <v>6.8538623892129767E-6</v>
      </c>
      <c r="AA45">
        <f t="shared" si="10"/>
        <v>6.8538623892129769</v>
      </c>
      <c r="AB45">
        <f>AVERAGE(AA45:AA47)</f>
        <v>6.4553773323270498</v>
      </c>
      <c r="AC45">
        <f>STDEV(AA45:AA47)</f>
        <v>0.40921516937978863</v>
      </c>
      <c r="AD45">
        <f>AA45-O48</f>
        <v>4.9485493098075111</v>
      </c>
    </row>
    <row r="46" spans="1:30">
      <c r="A46" s="25" t="s">
        <v>24</v>
      </c>
      <c r="B46" s="60"/>
      <c r="C46" s="60" t="s">
        <v>9</v>
      </c>
      <c r="D46" s="60"/>
      <c r="E46" s="60">
        <v>2</v>
      </c>
      <c r="F46" s="61">
        <v>25</v>
      </c>
      <c r="G46" s="62"/>
      <c r="H46" s="62">
        <v>169089552</v>
      </c>
      <c r="I46" s="55">
        <f t="shared" si="1"/>
        <v>13003.443851534101</v>
      </c>
      <c r="J46" s="10">
        <f t="shared" si="2"/>
        <v>410.22123640455146</v>
      </c>
      <c r="K46" s="11">
        <v>4717</v>
      </c>
      <c r="L46" s="10">
        <f t="shared" si="3"/>
        <v>188680</v>
      </c>
      <c r="M46" s="10">
        <f t="shared" si="4"/>
        <v>1.2306637092136543</v>
      </c>
      <c r="N46" s="10">
        <f t="shared" si="5"/>
        <v>6.5224915688660926E-6</v>
      </c>
      <c r="O46" s="56">
        <f t="shared" si="6"/>
        <v>6.5224915688660925</v>
      </c>
      <c r="P46" s="56"/>
      <c r="Q46" s="56"/>
      <c r="R46" s="63"/>
      <c r="S46" s="63"/>
      <c r="T46" s="63"/>
      <c r="U46" s="58"/>
      <c r="V46" s="8"/>
      <c r="W46" s="8">
        <v>380</v>
      </c>
      <c r="X46" s="8">
        <f t="shared" si="7"/>
        <v>15200</v>
      </c>
      <c r="Y46" s="8">
        <f t="shared" si="8"/>
        <v>203880</v>
      </c>
      <c r="Z46">
        <f t="shared" si="9"/>
        <v>6.0362159565119397E-6</v>
      </c>
      <c r="AA46">
        <f t="shared" si="10"/>
        <v>6.0362159565119393</v>
      </c>
      <c r="AD46">
        <f>AA46-O49</f>
        <v>4.7772958101294938</v>
      </c>
    </row>
    <row r="47" spans="1:30">
      <c r="A47" s="25" t="s">
        <v>24</v>
      </c>
      <c r="B47" s="60"/>
      <c r="C47" s="60" t="s">
        <v>9</v>
      </c>
      <c r="D47" s="60"/>
      <c r="E47" s="60">
        <v>3</v>
      </c>
      <c r="F47" s="61">
        <v>26</v>
      </c>
      <c r="G47" s="62"/>
      <c r="H47" s="62">
        <v>155015994</v>
      </c>
      <c r="I47" s="55">
        <f t="shared" si="1"/>
        <v>12450.541915916752</v>
      </c>
      <c r="J47" s="10">
        <f t="shared" si="2"/>
        <v>392.36250388411111</v>
      </c>
      <c r="K47" s="11">
        <v>4184</v>
      </c>
      <c r="L47" s="10">
        <f t="shared" si="3"/>
        <v>167360</v>
      </c>
      <c r="M47" s="10">
        <f t="shared" si="4"/>
        <v>1.1770875116523332</v>
      </c>
      <c r="N47" s="10">
        <f t="shared" si="5"/>
        <v>7.0332666805230228E-6</v>
      </c>
      <c r="O47" s="56">
        <f t="shared" si="6"/>
        <v>7.0332666805230231</v>
      </c>
      <c r="P47" s="56"/>
      <c r="Q47" s="56"/>
      <c r="R47" s="63"/>
      <c r="S47" s="63"/>
      <c r="T47" s="63"/>
      <c r="U47" s="58"/>
      <c r="V47" s="8"/>
      <c r="W47" s="8">
        <v>360</v>
      </c>
      <c r="X47" s="8">
        <f t="shared" si="7"/>
        <v>14400</v>
      </c>
      <c r="Y47" s="8">
        <f t="shared" si="8"/>
        <v>181760</v>
      </c>
      <c r="Z47">
        <f t="shared" si="9"/>
        <v>6.4760536512562345E-6</v>
      </c>
      <c r="AA47">
        <f t="shared" si="10"/>
        <v>6.4760536512562341</v>
      </c>
      <c r="AD47">
        <f>AA47-O50</f>
        <v>4.9178027161834894</v>
      </c>
    </row>
    <row r="48" spans="1:30">
      <c r="A48" s="26" t="s">
        <v>24</v>
      </c>
      <c r="B48" s="52"/>
      <c r="C48" s="52" t="s">
        <v>10</v>
      </c>
      <c r="D48" s="52"/>
      <c r="E48" s="52">
        <v>1</v>
      </c>
      <c r="F48" s="53">
        <v>27</v>
      </c>
      <c r="G48" s="54"/>
      <c r="H48" s="54">
        <v>516668428</v>
      </c>
      <c r="I48" s="55">
        <f t="shared" si="1"/>
        <v>22730.341572444529</v>
      </c>
      <c r="J48" s="10">
        <f t="shared" si="2"/>
        <v>724.40003278995835</v>
      </c>
      <c r="K48" s="10">
        <v>28515</v>
      </c>
      <c r="L48" s="10">
        <f t="shared" si="3"/>
        <v>1140600</v>
      </c>
      <c r="M48" s="10">
        <f t="shared" si="4"/>
        <v>2.1732000983698749</v>
      </c>
      <c r="N48" s="10">
        <f t="shared" si="5"/>
        <v>1.9053130794054663E-6</v>
      </c>
      <c r="O48" s="56">
        <f t="shared" si="6"/>
        <v>1.9053130794054662</v>
      </c>
      <c r="P48" s="56">
        <f>AVERAGE(O48:O50)</f>
        <v>1.5741613869535522</v>
      </c>
      <c r="Q48" s="56">
        <f>STDEV(O48:O50)</f>
        <v>0.32349005058087127</v>
      </c>
      <c r="R48" s="57"/>
      <c r="S48" s="57"/>
      <c r="T48" s="57"/>
      <c r="U48" s="58"/>
      <c r="V48" s="59"/>
      <c r="W48" s="8"/>
      <c r="X48" s="8">
        <f t="shared" si="7"/>
        <v>0</v>
      </c>
      <c r="Y48" s="8"/>
      <c r="Z48" t="e">
        <f t="shared" si="9"/>
        <v>#DIV/0!</v>
      </c>
      <c r="AA48" t="e">
        <f t="shared" si="10"/>
        <v>#DIV/0!</v>
      </c>
    </row>
    <row r="49" spans="1:30">
      <c r="A49" s="26" t="s">
        <v>24</v>
      </c>
      <c r="B49" s="52"/>
      <c r="C49" s="52" t="s">
        <v>10</v>
      </c>
      <c r="D49" s="52"/>
      <c r="E49" s="52">
        <v>2</v>
      </c>
      <c r="F49" s="53">
        <v>28</v>
      </c>
      <c r="G49" s="54"/>
      <c r="H49" s="54">
        <v>233993556</v>
      </c>
      <c r="I49" s="55">
        <f t="shared" si="1"/>
        <v>15296.847910599099</v>
      </c>
      <c r="J49" s="10">
        <f t="shared" si="2"/>
        <v>484.29818751235092</v>
      </c>
      <c r="K49" s="10">
        <v>28852</v>
      </c>
      <c r="L49" s="10">
        <f t="shared" si="3"/>
        <v>1154080</v>
      </c>
      <c r="M49" s="10">
        <f t="shared" si="4"/>
        <v>1.4528945625370528</v>
      </c>
      <c r="N49" s="10">
        <f t="shared" si="5"/>
        <v>1.2589201463824457E-6</v>
      </c>
      <c r="O49" s="56">
        <f t="shared" si="6"/>
        <v>1.2589201463824458</v>
      </c>
      <c r="P49" s="56"/>
      <c r="Q49" s="56"/>
      <c r="R49" s="57"/>
      <c r="S49" s="57"/>
      <c r="T49" s="57"/>
      <c r="U49" s="58"/>
      <c r="V49" s="59"/>
      <c r="W49" s="8"/>
      <c r="X49" s="8">
        <f t="shared" si="7"/>
        <v>0</v>
      </c>
      <c r="Y49" s="8"/>
      <c r="Z49" t="e">
        <f t="shared" si="9"/>
        <v>#DIV/0!</v>
      </c>
      <c r="AA49" t="e">
        <f t="shared" si="10"/>
        <v>#DIV/0!</v>
      </c>
    </row>
    <row r="50" spans="1:30">
      <c r="A50" s="26" t="s">
        <v>24</v>
      </c>
      <c r="B50" s="52"/>
      <c r="C50" s="52" t="s">
        <v>10</v>
      </c>
      <c r="D50" s="52"/>
      <c r="E50" s="52">
        <v>3</v>
      </c>
      <c r="F50" s="53">
        <v>29</v>
      </c>
      <c r="G50" s="54"/>
      <c r="H50" s="54">
        <v>371693105</v>
      </c>
      <c r="I50" s="55">
        <f t="shared" si="1"/>
        <v>19279.343998175871</v>
      </c>
      <c r="J50" s="10">
        <f t="shared" si="2"/>
        <v>612.93281114108072</v>
      </c>
      <c r="K50" s="10">
        <v>29501</v>
      </c>
      <c r="L50" s="10">
        <f t="shared" si="3"/>
        <v>1180040</v>
      </c>
      <c r="M50" s="10">
        <f t="shared" si="4"/>
        <v>1.8387984334232419</v>
      </c>
      <c r="N50" s="10">
        <f t="shared" si="5"/>
        <v>1.5582509350727449E-6</v>
      </c>
      <c r="O50" s="56">
        <f t="shared" si="6"/>
        <v>1.5582509350727449</v>
      </c>
      <c r="P50" s="56"/>
      <c r="Q50" s="56"/>
      <c r="R50" s="57"/>
      <c r="S50" s="57"/>
      <c r="T50" s="57"/>
      <c r="U50" s="58"/>
      <c r="V50" s="59"/>
      <c r="W50" s="8"/>
      <c r="X50" s="8">
        <f t="shared" si="7"/>
        <v>0</v>
      </c>
      <c r="Y50" s="8"/>
      <c r="Z50" t="e">
        <f t="shared" si="9"/>
        <v>#DIV/0!</v>
      </c>
      <c r="AA50" t="e">
        <f t="shared" si="10"/>
        <v>#DIV/0!</v>
      </c>
    </row>
    <row r="51" spans="1:30">
      <c r="A51" s="25" t="s">
        <v>24</v>
      </c>
      <c r="B51" s="60"/>
      <c r="C51" s="60" t="s">
        <v>11</v>
      </c>
      <c r="D51" s="60"/>
      <c r="E51" s="60">
        <v>1</v>
      </c>
      <c r="F51" s="61">
        <v>30</v>
      </c>
      <c r="G51" s="62"/>
      <c r="H51" s="62">
        <v>949398080</v>
      </c>
      <c r="I51" s="55">
        <f t="shared" si="1"/>
        <v>30812.304035888003</v>
      </c>
      <c r="J51" s="10">
        <f t="shared" si="2"/>
        <v>985.44742035918262</v>
      </c>
      <c r="K51" s="11">
        <v>19969</v>
      </c>
      <c r="L51" s="10">
        <f t="shared" si="3"/>
        <v>798760</v>
      </c>
      <c r="M51" s="10">
        <f t="shared" si="4"/>
        <v>2.9563422610775478</v>
      </c>
      <c r="N51" s="10">
        <f t="shared" si="5"/>
        <v>3.7011646315257999E-6</v>
      </c>
      <c r="O51" s="56">
        <f t="shared" si="6"/>
        <v>3.7011646315258</v>
      </c>
      <c r="P51" s="56">
        <f>AVERAGE(O51:O52)</f>
        <v>3.952881016709306</v>
      </c>
      <c r="Q51" s="56">
        <f>STDEV(O51:O52)</f>
        <v>0.35598072579804424</v>
      </c>
      <c r="R51" s="63"/>
      <c r="S51" s="63"/>
      <c r="T51" s="63"/>
      <c r="U51" s="58"/>
      <c r="V51" s="8"/>
      <c r="W51" s="8">
        <v>390</v>
      </c>
      <c r="X51" s="8">
        <f t="shared" si="7"/>
        <v>15600</v>
      </c>
      <c r="Y51" s="8">
        <f t="shared" si="8"/>
        <v>814360</v>
      </c>
      <c r="Z51">
        <f t="shared" si="9"/>
        <v>3.6302645771864382E-6</v>
      </c>
      <c r="AA51">
        <f t="shared" si="10"/>
        <v>3.6302645771864381</v>
      </c>
      <c r="AB51">
        <f>AVERAGE(AA51:AA52)</f>
        <v>3.8668355025663725</v>
      </c>
      <c r="AC51">
        <f>STDEV(AA51:AA52)</f>
        <v>0.33456181113545702</v>
      </c>
      <c r="AD51">
        <f>AA51-O53</f>
        <v>1.9811754544929647</v>
      </c>
    </row>
    <row r="52" spans="1:30">
      <c r="A52" s="25" t="s">
        <v>24</v>
      </c>
      <c r="B52" s="60"/>
      <c r="C52" s="60" t="s">
        <v>11</v>
      </c>
      <c r="D52" s="60"/>
      <c r="E52" s="60">
        <v>2</v>
      </c>
      <c r="F52" s="61">
        <v>31</v>
      </c>
      <c r="G52" s="62"/>
      <c r="H52" s="62">
        <v>1022408700</v>
      </c>
      <c r="I52" s="55">
        <f t="shared" si="1"/>
        <v>31975.126270274523</v>
      </c>
      <c r="J52" s="10">
        <f t="shared" si="2"/>
        <v>1023.0065785298673</v>
      </c>
      <c r="K52" s="11">
        <v>18248</v>
      </c>
      <c r="L52" s="10">
        <f t="shared" si="3"/>
        <v>729920</v>
      </c>
      <c r="M52" s="10">
        <f t="shared" si="4"/>
        <v>3.0690197355896016</v>
      </c>
      <c r="N52" s="10">
        <f t="shared" si="5"/>
        <v>4.2045974018928123E-6</v>
      </c>
      <c r="O52" s="56">
        <f t="shared" si="6"/>
        <v>4.2045974018928121</v>
      </c>
      <c r="P52" s="56"/>
      <c r="Q52" s="56"/>
      <c r="R52" s="63"/>
      <c r="S52" s="63"/>
      <c r="T52" s="63"/>
      <c r="U52" s="58"/>
      <c r="V52" s="8"/>
      <c r="W52" s="8">
        <v>450</v>
      </c>
      <c r="X52" s="8">
        <f t="shared" si="7"/>
        <v>18000</v>
      </c>
      <c r="Y52" s="8">
        <f t="shared" si="8"/>
        <v>747920</v>
      </c>
      <c r="Z52">
        <f t="shared" si="9"/>
        <v>4.103406427946307E-6</v>
      </c>
      <c r="AA52">
        <f t="shared" si="10"/>
        <v>4.1034064279463074</v>
      </c>
      <c r="AD52">
        <f>AA52-O54</f>
        <v>2.4835906610902847</v>
      </c>
    </row>
    <row r="53" spans="1:30">
      <c r="A53" s="26" t="s">
        <v>24</v>
      </c>
      <c r="B53" s="52"/>
      <c r="C53" s="52" t="s">
        <v>12</v>
      </c>
      <c r="D53" s="52"/>
      <c r="E53" s="52">
        <v>1</v>
      </c>
      <c r="F53" s="53">
        <v>32</v>
      </c>
      <c r="G53" s="54"/>
      <c r="H53" s="54">
        <v>3563633006</v>
      </c>
      <c r="I53" s="55">
        <f t="shared" si="1"/>
        <v>59696.172456866945</v>
      </c>
      <c r="J53" s="10">
        <f t="shared" si="2"/>
        <v>1918.3963703568024</v>
      </c>
      <c r="K53" s="10">
        <v>87248</v>
      </c>
      <c r="L53" s="10">
        <f t="shared" si="3"/>
        <v>3489920</v>
      </c>
      <c r="M53" s="10">
        <f t="shared" si="4"/>
        <v>5.7551891110704068</v>
      </c>
      <c r="N53" s="10">
        <f t="shared" si="5"/>
        <v>1.6490891226934734E-6</v>
      </c>
      <c r="O53" s="56">
        <f t="shared" si="6"/>
        <v>1.6490891226934734</v>
      </c>
      <c r="P53" s="56">
        <f>AVERAGE(O53:O54)</f>
        <v>1.6344524447747482</v>
      </c>
      <c r="Q53" s="56">
        <f>STDEV(O53:O54)</f>
        <v>2.069938842074821E-2</v>
      </c>
      <c r="R53" s="57"/>
      <c r="S53" s="57"/>
      <c r="T53" s="57"/>
      <c r="U53" s="58"/>
      <c r="V53" s="59"/>
      <c r="W53" s="8"/>
      <c r="X53" s="8">
        <f t="shared" si="7"/>
        <v>0</v>
      </c>
      <c r="Y53" s="8"/>
      <c r="Z53" t="e">
        <f t="shared" si="9"/>
        <v>#DIV/0!</v>
      </c>
      <c r="AA53" t="e">
        <f t="shared" si="10"/>
        <v>#DIV/0!</v>
      </c>
    </row>
    <row r="54" spans="1:30">
      <c r="A54" s="26" t="s">
        <v>24</v>
      </c>
      <c r="B54" s="52"/>
      <c r="C54" s="52" t="s">
        <v>12</v>
      </c>
      <c r="D54" s="52"/>
      <c r="E54" s="52">
        <v>2</v>
      </c>
      <c r="F54" s="53">
        <v>33</v>
      </c>
      <c r="G54" s="54"/>
      <c r="H54" s="54">
        <v>3662442517</v>
      </c>
      <c r="I54" s="55">
        <f t="shared" si="1"/>
        <v>60518.117262519001</v>
      </c>
      <c r="J54" s="10">
        <f t="shared" si="2"/>
        <v>1944.9451875793638</v>
      </c>
      <c r="K54" s="10">
        <v>90054</v>
      </c>
      <c r="L54" s="10">
        <f t="shared" si="3"/>
        <v>3602160</v>
      </c>
      <c r="M54" s="10">
        <f t="shared" si="4"/>
        <v>5.8348355627380908</v>
      </c>
      <c r="N54" s="10">
        <f t="shared" si="5"/>
        <v>1.6198157668560227E-6</v>
      </c>
      <c r="O54" s="56">
        <f t="shared" si="6"/>
        <v>1.6198157668560227</v>
      </c>
      <c r="P54" s="56"/>
      <c r="Q54" s="56"/>
      <c r="R54" s="57"/>
      <c r="S54" s="57"/>
      <c r="T54" s="57"/>
      <c r="U54" s="58"/>
      <c r="V54" s="59"/>
      <c r="W54" s="8"/>
      <c r="X54" s="8">
        <f t="shared" si="7"/>
        <v>0</v>
      </c>
      <c r="Y54" s="8"/>
      <c r="Z54" t="e">
        <f t="shared" si="9"/>
        <v>#DIV/0!</v>
      </c>
      <c r="AA54" t="e">
        <f t="shared" si="10"/>
        <v>#DIV/0!</v>
      </c>
    </row>
    <row r="55" spans="1:30">
      <c r="A55" s="25" t="s">
        <v>24</v>
      </c>
      <c r="B55" s="60"/>
      <c r="C55" s="60" t="s">
        <v>13</v>
      </c>
      <c r="D55" s="60"/>
      <c r="E55" s="60">
        <v>1</v>
      </c>
      <c r="F55" s="61">
        <v>34</v>
      </c>
      <c r="G55" s="62"/>
      <c r="H55" s="62">
        <v>2050606642</v>
      </c>
      <c r="I55" s="55">
        <f t="shared" si="1"/>
        <v>45283.624435329817</v>
      </c>
      <c r="J55" s="10">
        <f t="shared" si="2"/>
        <v>1452.8710692611533</v>
      </c>
      <c r="K55" s="11">
        <v>31723</v>
      </c>
      <c r="L55" s="10">
        <f t="shared" si="3"/>
        <v>1268920</v>
      </c>
      <c r="M55" s="10">
        <f t="shared" si="4"/>
        <v>4.3586132077834598</v>
      </c>
      <c r="N55" s="10">
        <f t="shared" si="5"/>
        <v>3.4348999210221761E-6</v>
      </c>
      <c r="O55" s="56">
        <f t="shared" si="6"/>
        <v>3.434899921022176</v>
      </c>
      <c r="P55" s="56">
        <f>AVERAGE(O55:O57)</f>
        <v>3.3345709872793665</v>
      </c>
      <c r="Q55" s="56">
        <f>STDEV(O55:O57)</f>
        <v>0.1246357218300596</v>
      </c>
      <c r="R55" s="63"/>
      <c r="S55" s="63"/>
      <c r="T55" s="63"/>
      <c r="U55" s="58"/>
      <c r="V55" s="8"/>
      <c r="W55" s="8">
        <v>300</v>
      </c>
      <c r="X55" s="8">
        <f t="shared" si="7"/>
        <v>12000</v>
      </c>
      <c r="Y55" s="8">
        <f t="shared" si="8"/>
        <v>1280920</v>
      </c>
      <c r="Z55">
        <f t="shared" si="9"/>
        <v>3.4027208629605749E-6</v>
      </c>
      <c r="AA55">
        <f t="shared" si="10"/>
        <v>3.402720862960575</v>
      </c>
      <c r="AB55">
        <f>AVERAGE(AA55:AA57)</f>
        <v>3.3006503340544691</v>
      </c>
      <c r="AC55">
        <f>STDEV(AA55:AA57)</f>
        <v>0.12506370463321101</v>
      </c>
      <c r="AD55">
        <f>AA55-O58</f>
        <v>2.215211735583559</v>
      </c>
    </row>
    <row r="56" spans="1:30">
      <c r="A56" s="25" t="s">
        <v>24</v>
      </c>
      <c r="B56" s="60"/>
      <c r="C56" s="60" t="s">
        <v>13</v>
      </c>
      <c r="D56" s="60"/>
      <c r="E56" s="60">
        <v>2</v>
      </c>
      <c r="F56" s="61">
        <v>35</v>
      </c>
      <c r="G56" s="62"/>
      <c r="H56" s="62">
        <v>1875187330</v>
      </c>
      <c r="I56" s="55">
        <f t="shared" si="1"/>
        <v>43303.433235714692</v>
      </c>
      <c r="J56" s="10">
        <f t="shared" si="2"/>
        <v>1388.9108935135846</v>
      </c>
      <c r="K56" s="11">
        <v>30876</v>
      </c>
      <c r="L56" s="10">
        <f t="shared" si="3"/>
        <v>1235040</v>
      </c>
      <c r="M56" s="10">
        <f t="shared" si="4"/>
        <v>4.1667326805407541</v>
      </c>
      <c r="N56" s="10">
        <f t="shared" si="5"/>
        <v>3.3737633441352134E-6</v>
      </c>
      <c r="O56" s="56">
        <f t="shared" si="6"/>
        <v>3.3737633441352135</v>
      </c>
      <c r="P56" s="56"/>
      <c r="Q56" s="56"/>
      <c r="R56" s="63"/>
      <c r="S56" s="63"/>
      <c r="T56" s="63"/>
      <c r="U56" s="58"/>
      <c r="V56" s="8"/>
      <c r="W56" s="8">
        <v>330</v>
      </c>
      <c r="X56" s="8">
        <f t="shared" si="7"/>
        <v>13200</v>
      </c>
      <c r="Y56" s="8">
        <f t="shared" si="8"/>
        <v>1248240</v>
      </c>
      <c r="Z56">
        <f t="shared" si="9"/>
        <v>3.3380861697596246E-6</v>
      </c>
      <c r="AA56">
        <f t="shared" si="10"/>
        <v>3.3380861697596247</v>
      </c>
      <c r="AD56">
        <f>AA56-O59</f>
        <v>1.9131029807456734</v>
      </c>
    </row>
    <row r="57" spans="1:30">
      <c r="A57" s="25" t="s">
        <v>24</v>
      </c>
      <c r="B57" s="60"/>
      <c r="C57" s="60" t="s">
        <v>13</v>
      </c>
      <c r="D57" s="60"/>
      <c r="E57" s="60">
        <v>3</v>
      </c>
      <c r="F57" s="61">
        <v>36</v>
      </c>
      <c r="G57" s="62"/>
      <c r="H57" s="62">
        <v>1986561181</v>
      </c>
      <c r="I57" s="55">
        <f t="shared" si="1"/>
        <v>44570.855735558856</v>
      </c>
      <c r="J57" s="10">
        <f t="shared" si="2"/>
        <v>1429.8486402585513</v>
      </c>
      <c r="K57" s="11">
        <v>33564</v>
      </c>
      <c r="L57" s="10">
        <f t="shared" si="3"/>
        <v>1342560</v>
      </c>
      <c r="M57" s="10">
        <f t="shared" si="4"/>
        <v>4.2895459207756534</v>
      </c>
      <c r="N57" s="10">
        <f t="shared" si="5"/>
        <v>3.1950496966807097E-6</v>
      </c>
      <c r="O57" s="56">
        <f t="shared" si="6"/>
        <v>3.1950496966807096</v>
      </c>
      <c r="P57" s="56"/>
      <c r="Q57" s="56"/>
      <c r="R57" s="63"/>
      <c r="S57" s="63"/>
      <c r="T57" s="63"/>
      <c r="U57" s="58"/>
      <c r="V57" s="8"/>
      <c r="W57" s="8">
        <v>360</v>
      </c>
      <c r="X57" s="8">
        <f t="shared" si="7"/>
        <v>14400</v>
      </c>
      <c r="Y57" s="8">
        <f t="shared" si="8"/>
        <v>1356960</v>
      </c>
      <c r="Z57">
        <f t="shared" si="9"/>
        <v>3.1611439694432064E-6</v>
      </c>
      <c r="AA57">
        <f t="shared" si="10"/>
        <v>3.1611439694432066</v>
      </c>
      <c r="AD57">
        <f>AA57-O60</f>
        <v>1.7505129586018706</v>
      </c>
    </row>
    <row r="58" spans="1:30">
      <c r="A58" s="26" t="s">
        <v>24</v>
      </c>
      <c r="B58" s="52"/>
      <c r="C58" s="52" t="s">
        <v>14</v>
      </c>
      <c r="D58" s="52"/>
      <c r="E58" s="52">
        <v>1</v>
      </c>
      <c r="F58" s="53">
        <v>37</v>
      </c>
      <c r="G58" s="54"/>
      <c r="H58" s="54">
        <v>2688632144</v>
      </c>
      <c r="I58" s="55">
        <f t="shared" si="1"/>
        <v>51852.021599933789</v>
      </c>
      <c r="J58" s="10">
        <f t="shared" si="2"/>
        <v>1665.0302976778614</v>
      </c>
      <c r="K58" s="10">
        <v>105159</v>
      </c>
      <c r="L58" s="10">
        <f t="shared" si="3"/>
        <v>4206360</v>
      </c>
      <c r="M58" s="10">
        <f t="shared" si="4"/>
        <v>4.9950908930335842</v>
      </c>
      <c r="N58" s="10">
        <f t="shared" si="5"/>
        <v>1.1875091273770159E-6</v>
      </c>
      <c r="O58" s="56">
        <f t="shared" si="6"/>
        <v>1.187509127377016</v>
      </c>
      <c r="P58" s="56">
        <f>AVERAGE(O58:O60)</f>
        <v>1.3410411090774346</v>
      </c>
      <c r="Q58" s="56">
        <f>STDEV(O58:O60)</f>
        <v>0.1331561050354727</v>
      </c>
      <c r="R58" s="57"/>
      <c r="S58" s="57"/>
      <c r="T58" s="57"/>
      <c r="U58" s="58"/>
      <c r="V58" s="59"/>
      <c r="W58" s="8"/>
      <c r="X58" s="8"/>
      <c r="Y58" s="8"/>
    </row>
    <row r="59" spans="1:30">
      <c r="A59" s="26" t="s">
        <v>24</v>
      </c>
      <c r="B59" s="52"/>
      <c r="C59" s="52" t="s">
        <v>14</v>
      </c>
      <c r="D59" s="52"/>
      <c r="E59" s="52">
        <v>2</v>
      </c>
      <c r="F59" s="53">
        <v>38</v>
      </c>
      <c r="G59" s="54"/>
      <c r="H59" s="54">
        <v>4164422679</v>
      </c>
      <c r="I59" s="55">
        <f t="shared" si="1"/>
        <v>64532.338242155769</v>
      </c>
      <c r="J59" s="10">
        <f t="shared" si="2"/>
        <v>2074.6045252216313</v>
      </c>
      <c r="K59" s="10">
        <v>109191</v>
      </c>
      <c r="L59" s="10">
        <f t="shared" si="3"/>
        <v>4367640</v>
      </c>
      <c r="M59" s="10">
        <f t="shared" si="4"/>
        <v>6.2238135756648942</v>
      </c>
      <c r="N59" s="10">
        <f t="shared" si="5"/>
        <v>1.4249831890139513E-6</v>
      </c>
      <c r="O59" s="56">
        <f t="shared" si="6"/>
        <v>1.4249831890139513</v>
      </c>
      <c r="P59" s="56"/>
      <c r="Q59" s="56"/>
      <c r="R59" s="57"/>
      <c r="S59" s="57"/>
      <c r="T59" s="57"/>
      <c r="U59" s="58"/>
      <c r="V59" s="59"/>
      <c r="W59" s="8"/>
      <c r="X59" s="8"/>
      <c r="Y59" s="8"/>
    </row>
    <row r="60" spans="1:30">
      <c r="A60" s="26" t="s">
        <v>24</v>
      </c>
      <c r="B60" s="52"/>
      <c r="C60" s="52" t="s">
        <v>14</v>
      </c>
      <c r="D60" s="52"/>
      <c r="E60" s="52">
        <v>3</v>
      </c>
      <c r="F60" s="53">
        <v>39</v>
      </c>
      <c r="G60" s="54"/>
      <c r="H60" s="54">
        <v>5145894189</v>
      </c>
      <c r="I60" s="55">
        <f t="shared" si="1"/>
        <v>71734.88822741693</v>
      </c>
      <c r="J60" s="10">
        <f t="shared" si="2"/>
        <v>2307.2468897455669</v>
      </c>
      <c r="K60" s="10">
        <v>122671</v>
      </c>
      <c r="L60" s="10">
        <f t="shared" si="3"/>
        <v>4906840</v>
      </c>
      <c r="M60" s="10">
        <f t="shared" si="4"/>
        <v>6.9217406692367014</v>
      </c>
      <c r="N60" s="10">
        <f t="shared" si="5"/>
        <v>1.4106310108413359E-6</v>
      </c>
      <c r="O60" s="56">
        <f t="shared" si="6"/>
        <v>1.410631010841336</v>
      </c>
      <c r="P60" s="56"/>
      <c r="Q60" s="56"/>
      <c r="R60" s="57"/>
      <c r="S60" s="57"/>
      <c r="T60" s="57"/>
      <c r="U60" s="58"/>
      <c r="V60" s="59"/>
      <c r="W60" s="8"/>
      <c r="X60" s="8"/>
      <c r="Y60" s="8"/>
    </row>
    <row r="61" spans="1:30">
      <c r="A61" s="25" t="s">
        <v>24</v>
      </c>
      <c r="B61" s="60"/>
      <c r="C61" s="60" t="s">
        <v>79</v>
      </c>
      <c r="D61" s="60"/>
      <c r="E61" s="60">
        <v>1</v>
      </c>
      <c r="F61" s="61">
        <v>40</v>
      </c>
      <c r="G61" s="62"/>
      <c r="H61" s="62">
        <v>3114381</v>
      </c>
      <c r="I61" s="55">
        <f t="shared" si="1"/>
        <v>1764.760890319139</v>
      </c>
      <c r="J61" s="10">
        <f t="shared" si="2"/>
        <v>47.211776757308193</v>
      </c>
      <c r="K61" s="11">
        <v>0</v>
      </c>
      <c r="L61" s="10">
        <f t="shared" si="3"/>
        <v>0</v>
      </c>
      <c r="M61" s="10">
        <f t="shared" si="4"/>
        <v>0.14163533027192457</v>
      </c>
      <c r="N61" s="10" t="e">
        <f>M61/L61</f>
        <v>#DIV/0!</v>
      </c>
      <c r="O61" s="56" t="e">
        <f t="shared" si="6"/>
        <v>#DIV/0!</v>
      </c>
      <c r="P61" s="56"/>
      <c r="Q61" s="56"/>
      <c r="R61" s="63"/>
      <c r="S61" s="63"/>
      <c r="T61" s="63"/>
      <c r="U61" s="58"/>
      <c r="V61" s="8"/>
      <c r="W61" s="8"/>
      <c r="X61" s="8"/>
      <c r="Y61" s="8"/>
    </row>
    <row r="62" spans="1:30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30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30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preyabun</vt:lpstr>
      <vt:lpstr>SSC</vt:lpstr>
      <vt:lpstr>FSC</vt:lpstr>
      <vt:lpstr>Red</vt:lpstr>
      <vt:lpstr>fvfm</vt:lpstr>
      <vt:lpstr>predabun</vt:lpstr>
      <vt:lpstr>DMSPp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Harvey</dc:creator>
  <cp:lastModifiedBy>Elizabeth Harvey</cp:lastModifiedBy>
  <cp:lastPrinted>2013-09-12T20:02:49Z</cp:lastPrinted>
  <dcterms:created xsi:type="dcterms:W3CDTF">2013-08-28T13:01:51Z</dcterms:created>
  <dcterms:modified xsi:type="dcterms:W3CDTF">2014-04-15T17:11:29Z</dcterms:modified>
</cp:coreProperties>
</file>