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3460" yWindow="0" windowWidth="19620" windowHeight="15160" tabRatio="799" activeTab="6"/>
  </bookViews>
  <sheets>
    <sheet name="preyabun" sheetId="1" r:id="rId1"/>
    <sheet name="SSC" sheetId="2" r:id="rId2"/>
    <sheet name="FSC" sheetId="11" r:id="rId3"/>
    <sheet name="predabun" sheetId="4" r:id="rId4"/>
    <sheet name="RedF" sheetId="12" r:id="rId5"/>
    <sheet name="fvfm" sheetId="3" r:id="rId6"/>
    <sheet name="DMSPp" sheetId="13" r:id="rId7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7" i="1"/>
  <c r="J29" i="4"/>
  <c r="J28" i="4"/>
  <c r="J24" i="4"/>
  <c r="J14" i="4"/>
  <c r="J9" i="4"/>
  <c r="J8" i="4"/>
  <c r="J5" i="4"/>
  <c r="J6" i="4"/>
  <c r="J7" i="4"/>
  <c r="J10" i="4"/>
  <c r="J11" i="4"/>
  <c r="J12" i="4"/>
  <c r="J13" i="4"/>
  <c r="J15" i="4"/>
  <c r="J16" i="4"/>
  <c r="J17" i="4"/>
  <c r="J18" i="4"/>
  <c r="J19" i="4"/>
  <c r="J20" i="4"/>
  <c r="J21" i="4"/>
  <c r="J22" i="4"/>
  <c r="J23" i="4"/>
  <c r="J25" i="4"/>
  <c r="J26" i="4"/>
  <c r="J27" i="4"/>
  <c r="J30" i="4"/>
  <c r="J31" i="4"/>
  <c r="J32" i="4"/>
  <c r="J4" i="4"/>
  <c r="K8" i="4"/>
  <c r="F7" i="4"/>
  <c r="M8" i="4"/>
  <c r="N8" i="4"/>
  <c r="O8" i="4"/>
  <c r="P8" i="4"/>
  <c r="K4" i="4"/>
  <c r="F4" i="4"/>
  <c r="M4" i="4"/>
  <c r="N4" i="4"/>
  <c r="O4" i="4"/>
  <c r="P4" i="4"/>
  <c r="Q8" i="4"/>
  <c r="K13" i="4"/>
  <c r="F13" i="4"/>
  <c r="M13" i="4"/>
  <c r="N13" i="4"/>
  <c r="O13" i="4"/>
  <c r="P13" i="4"/>
  <c r="Q13" i="4"/>
  <c r="K14" i="4"/>
  <c r="M14" i="4"/>
  <c r="N14" i="4"/>
  <c r="O14" i="4"/>
  <c r="P14" i="4"/>
  <c r="Q14" i="4"/>
  <c r="K23" i="4"/>
  <c r="F23" i="4"/>
  <c r="M23" i="4"/>
  <c r="N23" i="4"/>
  <c r="O23" i="4"/>
  <c r="P23" i="4"/>
  <c r="Q23" i="4"/>
  <c r="K24" i="4"/>
  <c r="M24" i="4"/>
  <c r="N24" i="4"/>
  <c r="O24" i="4"/>
  <c r="P24" i="4"/>
  <c r="Q24" i="4"/>
  <c r="K27" i="4"/>
  <c r="F27" i="4"/>
  <c r="M27" i="4"/>
  <c r="N27" i="4"/>
  <c r="O27" i="4"/>
  <c r="P27" i="4"/>
  <c r="Q27" i="4"/>
  <c r="K28" i="4"/>
  <c r="M28" i="4"/>
  <c r="N28" i="4"/>
  <c r="O28" i="4"/>
  <c r="P28" i="4"/>
  <c r="Q28" i="4"/>
  <c r="K29" i="4"/>
  <c r="M29" i="4"/>
  <c r="N29" i="4"/>
  <c r="O29" i="4"/>
  <c r="P29" i="4"/>
  <c r="Q29" i="4"/>
  <c r="K7" i="4"/>
  <c r="M7" i="4"/>
  <c r="N7" i="4"/>
  <c r="O7" i="4"/>
  <c r="P7" i="4"/>
  <c r="Q7" i="4"/>
  <c r="K5" i="4"/>
  <c r="F5" i="4"/>
  <c r="M5" i="4"/>
  <c r="N5" i="4"/>
  <c r="O5" i="4"/>
  <c r="P5" i="4"/>
  <c r="K6" i="4"/>
  <c r="F6" i="4"/>
  <c r="M6" i="4"/>
  <c r="N6" i="4"/>
  <c r="O6" i="4"/>
  <c r="P6" i="4"/>
  <c r="Q4" i="4"/>
  <c r="K9" i="4"/>
  <c r="M9" i="4"/>
  <c r="N9" i="4"/>
  <c r="O9" i="4"/>
  <c r="P9" i="4"/>
  <c r="F10" i="4"/>
  <c r="N10" i="4"/>
  <c r="O10" i="4"/>
  <c r="P10" i="4"/>
  <c r="F11" i="4"/>
  <c r="N11" i="4"/>
  <c r="O11" i="4"/>
  <c r="P11" i="4"/>
  <c r="F12" i="4"/>
  <c r="N12" i="4"/>
  <c r="O12" i="4"/>
  <c r="P12" i="4"/>
  <c r="F15" i="4"/>
  <c r="N15" i="4"/>
  <c r="O15" i="4"/>
  <c r="P15" i="4"/>
  <c r="F16" i="4"/>
  <c r="N16" i="4"/>
  <c r="O16" i="4"/>
  <c r="P16" i="4"/>
  <c r="F17" i="4"/>
  <c r="N17" i="4"/>
  <c r="O17" i="4"/>
  <c r="P17" i="4"/>
  <c r="F18" i="4"/>
  <c r="N18" i="4"/>
  <c r="O18" i="4"/>
  <c r="P18" i="4"/>
  <c r="F19" i="4"/>
  <c r="N19" i="4"/>
  <c r="O19" i="4"/>
  <c r="P19" i="4"/>
  <c r="F20" i="4"/>
  <c r="N20" i="4"/>
  <c r="O20" i="4"/>
  <c r="P20" i="4"/>
  <c r="F21" i="4"/>
  <c r="N21" i="4"/>
  <c r="O21" i="4"/>
  <c r="P21" i="4"/>
  <c r="F22" i="4"/>
  <c r="N22" i="4"/>
  <c r="O22" i="4"/>
  <c r="P22" i="4"/>
  <c r="F25" i="4"/>
  <c r="N25" i="4"/>
  <c r="O25" i="4"/>
  <c r="P25" i="4"/>
  <c r="F26" i="4"/>
  <c r="N26" i="4"/>
  <c r="O26" i="4"/>
  <c r="P26" i="4"/>
  <c r="F30" i="4"/>
  <c r="N30" i="4"/>
  <c r="O30" i="4"/>
  <c r="P30" i="4"/>
  <c r="F31" i="4"/>
  <c r="N31" i="4"/>
  <c r="O31" i="4"/>
  <c r="P31" i="4"/>
  <c r="F32" i="4"/>
  <c r="N32" i="4"/>
  <c r="O32" i="4"/>
  <c r="P32" i="4"/>
  <c r="L5" i="4"/>
  <c r="L6" i="4"/>
  <c r="L7" i="4"/>
  <c r="L8" i="4"/>
  <c r="L9" i="4"/>
  <c r="K10" i="4"/>
  <c r="L10" i="4"/>
  <c r="K11" i="4"/>
  <c r="L11" i="4"/>
  <c r="K12" i="4"/>
  <c r="L12" i="4"/>
  <c r="L13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L23" i="4"/>
  <c r="L24" i="4"/>
  <c r="K25" i="4"/>
  <c r="L25" i="4"/>
  <c r="K26" i="4"/>
  <c r="L26" i="4"/>
  <c r="L27" i="4"/>
  <c r="L28" i="4"/>
  <c r="L29" i="4"/>
  <c r="K30" i="4"/>
  <c r="L30" i="4"/>
  <c r="K31" i="4"/>
  <c r="L31" i="4"/>
  <c r="K32" i="4"/>
  <c r="L32" i="4"/>
  <c r="L4" i="4"/>
  <c r="R13" i="4"/>
  <c r="R14" i="4"/>
  <c r="S13" i="4"/>
  <c r="R4" i="4"/>
  <c r="R5" i="4"/>
  <c r="R6" i="4"/>
  <c r="S4" i="4"/>
  <c r="U13" i="4"/>
  <c r="AH57" i="13"/>
  <c r="AH56" i="13"/>
  <c r="AH55" i="13"/>
  <c r="AH52" i="13"/>
  <c r="AH51" i="13"/>
  <c r="AH42" i="13"/>
  <c r="AH41" i="13"/>
  <c r="AH37" i="13"/>
  <c r="AH36" i="13"/>
  <c r="AH35" i="13"/>
  <c r="AF55" i="13"/>
  <c r="AF41" i="13"/>
  <c r="AF35" i="13"/>
  <c r="AE55" i="13"/>
  <c r="AE51" i="13"/>
  <c r="AE41" i="13"/>
  <c r="AE35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D49" i="13"/>
  <c r="AD50" i="13"/>
  <c r="AD51" i="13"/>
  <c r="AD52" i="13"/>
  <c r="AD53" i="13"/>
  <c r="AD54" i="13"/>
  <c r="AD55" i="13"/>
  <c r="AD56" i="13"/>
  <c r="AD57" i="13"/>
  <c r="AD35" i="13"/>
  <c r="AC36" i="13"/>
  <c r="AC37" i="13"/>
  <c r="AC38" i="13"/>
  <c r="AC39" i="13"/>
  <c r="AC40" i="13"/>
  <c r="AC41" i="13"/>
  <c r="AC42" i="13"/>
  <c r="AC43" i="13"/>
  <c r="AC44" i="13"/>
  <c r="AC45" i="13"/>
  <c r="AC46" i="13"/>
  <c r="AC47" i="13"/>
  <c r="AC48" i="13"/>
  <c r="AC49" i="13"/>
  <c r="AC50" i="13"/>
  <c r="AC51" i="13"/>
  <c r="AC52" i="13"/>
  <c r="AC53" i="13"/>
  <c r="AC54" i="13"/>
  <c r="AC55" i="13"/>
  <c r="AC56" i="13"/>
  <c r="AC57" i="13"/>
  <c r="AC35" i="13"/>
  <c r="AB36" i="13"/>
  <c r="AB37" i="13"/>
  <c r="AB41" i="13"/>
  <c r="AB42" i="13"/>
  <c r="AB51" i="13"/>
  <c r="AB52" i="13"/>
  <c r="AB55" i="13"/>
  <c r="AB56" i="13"/>
  <c r="AB57" i="13"/>
  <c r="AB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56" i="13"/>
  <c r="AA57" i="13"/>
  <c r="AA35" i="13"/>
  <c r="Q25" i="13"/>
  <c r="P25" i="13"/>
  <c r="U25" i="13"/>
  <c r="U27" i="13"/>
  <c r="O65" i="13"/>
  <c r="O64" i="13"/>
  <c r="N65" i="13"/>
  <c r="N66" i="13"/>
  <c r="N64" i="13"/>
  <c r="M65" i="13"/>
  <c r="M66" i="13"/>
  <c r="M64" i="13"/>
  <c r="L65" i="13"/>
  <c r="L66" i="13"/>
  <c r="L64" i="13"/>
  <c r="I41" i="13"/>
  <c r="J41" i="13"/>
  <c r="M41" i="13"/>
  <c r="L41" i="13"/>
  <c r="N41" i="13"/>
  <c r="O41" i="13"/>
  <c r="I43" i="13"/>
  <c r="J43" i="13"/>
  <c r="M43" i="13"/>
  <c r="L43" i="13"/>
  <c r="N43" i="13"/>
  <c r="O43" i="13"/>
  <c r="W41" i="13"/>
  <c r="I56" i="13"/>
  <c r="J56" i="13"/>
  <c r="M56" i="13"/>
  <c r="L56" i="13"/>
  <c r="N56" i="13"/>
  <c r="O56" i="13"/>
  <c r="I59" i="13"/>
  <c r="J59" i="13"/>
  <c r="M59" i="13"/>
  <c r="L59" i="13"/>
  <c r="N59" i="13"/>
  <c r="O59" i="13"/>
  <c r="W56" i="13"/>
  <c r="I55" i="13"/>
  <c r="J55" i="13"/>
  <c r="M55" i="13"/>
  <c r="L55" i="13"/>
  <c r="N55" i="13"/>
  <c r="O55" i="13"/>
  <c r="I58" i="13"/>
  <c r="J58" i="13"/>
  <c r="M58" i="13"/>
  <c r="L58" i="13"/>
  <c r="N58" i="13"/>
  <c r="O58" i="13"/>
  <c r="W55" i="13"/>
  <c r="I51" i="13"/>
  <c r="J51" i="13"/>
  <c r="M51" i="13"/>
  <c r="L51" i="13"/>
  <c r="N51" i="13"/>
  <c r="O51" i="13"/>
  <c r="I53" i="13"/>
  <c r="J53" i="13"/>
  <c r="M53" i="13"/>
  <c r="L53" i="13"/>
  <c r="N53" i="13"/>
  <c r="O53" i="13"/>
  <c r="W51" i="13"/>
  <c r="I42" i="13"/>
  <c r="J42" i="13"/>
  <c r="M42" i="13"/>
  <c r="L42" i="13"/>
  <c r="N42" i="13"/>
  <c r="O42" i="13"/>
  <c r="I44" i="13"/>
  <c r="J44" i="13"/>
  <c r="M44" i="13"/>
  <c r="L44" i="13"/>
  <c r="N44" i="13"/>
  <c r="O44" i="13"/>
  <c r="W42" i="13"/>
  <c r="I37" i="13"/>
  <c r="J37" i="13"/>
  <c r="M37" i="13"/>
  <c r="L37" i="13"/>
  <c r="N37" i="13"/>
  <c r="O37" i="13"/>
  <c r="I40" i="13"/>
  <c r="J40" i="13"/>
  <c r="M40" i="13"/>
  <c r="L40" i="13"/>
  <c r="N40" i="13"/>
  <c r="O40" i="13"/>
  <c r="W37" i="13"/>
  <c r="I36" i="13"/>
  <c r="J36" i="13"/>
  <c r="M36" i="13"/>
  <c r="L36" i="13"/>
  <c r="N36" i="13"/>
  <c r="O36" i="13"/>
  <c r="I39" i="13"/>
  <c r="J39" i="13"/>
  <c r="M39" i="13"/>
  <c r="L39" i="13"/>
  <c r="N39" i="13"/>
  <c r="O39" i="13"/>
  <c r="W36" i="13"/>
  <c r="I35" i="13"/>
  <c r="J35" i="13"/>
  <c r="M35" i="13"/>
  <c r="L35" i="13"/>
  <c r="N35" i="13"/>
  <c r="O35" i="13"/>
  <c r="I38" i="13"/>
  <c r="J38" i="13"/>
  <c r="M38" i="13"/>
  <c r="L38" i="13"/>
  <c r="N38" i="13"/>
  <c r="O38" i="13"/>
  <c r="W35" i="13"/>
  <c r="I60" i="13"/>
  <c r="J60" i="13"/>
  <c r="M60" i="13"/>
  <c r="L60" i="13"/>
  <c r="N60" i="13"/>
  <c r="O60" i="13"/>
  <c r="Q58" i="13"/>
  <c r="Q55" i="13"/>
  <c r="I54" i="13"/>
  <c r="J54" i="13"/>
  <c r="M54" i="13"/>
  <c r="L54" i="13"/>
  <c r="N54" i="13"/>
  <c r="O54" i="13"/>
  <c r="Q53" i="13"/>
  <c r="Q43" i="13"/>
  <c r="Q41" i="13"/>
  <c r="Q39" i="13"/>
  <c r="Q35" i="13"/>
  <c r="P58" i="13"/>
  <c r="P55" i="13"/>
  <c r="P53" i="13"/>
  <c r="P51" i="13"/>
  <c r="P43" i="13"/>
  <c r="P41" i="13"/>
  <c r="P39" i="13"/>
  <c r="P35" i="13"/>
  <c r="I23" i="13"/>
  <c r="J23" i="13"/>
  <c r="I24" i="13"/>
  <c r="J24" i="13"/>
  <c r="I25" i="13"/>
  <c r="J25" i="13"/>
  <c r="I26" i="13"/>
  <c r="J26" i="13"/>
  <c r="I27" i="13"/>
  <c r="J27" i="13"/>
  <c r="I28" i="13"/>
  <c r="J28" i="13"/>
  <c r="I29" i="13"/>
  <c r="J29" i="13"/>
  <c r="I30" i="13"/>
  <c r="J30" i="13"/>
  <c r="I31" i="13"/>
  <c r="J31" i="13"/>
  <c r="I32" i="13"/>
  <c r="J32" i="13"/>
  <c r="I33" i="13"/>
  <c r="J33" i="13"/>
  <c r="I34" i="13"/>
  <c r="J34" i="13"/>
  <c r="I45" i="13"/>
  <c r="J45" i="13"/>
  <c r="I46" i="13"/>
  <c r="J46" i="13"/>
  <c r="I47" i="13"/>
  <c r="J47" i="13"/>
  <c r="I48" i="13"/>
  <c r="J48" i="13"/>
  <c r="I49" i="13"/>
  <c r="J49" i="13"/>
  <c r="I50" i="13"/>
  <c r="J50" i="13"/>
  <c r="I52" i="13"/>
  <c r="J52" i="13"/>
  <c r="I57" i="13"/>
  <c r="J57" i="13"/>
  <c r="I61" i="13"/>
  <c r="J61" i="13"/>
  <c r="I22" i="13"/>
  <c r="J22" i="13"/>
  <c r="D13" i="13"/>
  <c r="D7" i="13"/>
  <c r="D8" i="13"/>
  <c r="D9" i="13"/>
  <c r="D10" i="13"/>
  <c r="D6" i="13"/>
  <c r="D5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45" i="13"/>
  <c r="M46" i="13"/>
  <c r="M47" i="13"/>
  <c r="M48" i="13"/>
  <c r="M49" i="13"/>
  <c r="M50" i="13"/>
  <c r="M52" i="13"/>
  <c r="M57" i="13"/>
  <c r="M61" i="13"/>
  <c r="M22" i="13"/>
  <c r="L61" i="13"/>
  <c r="R61" i="13"/>
  <c r="S61" i="13"/>
  <c r="T61" i="13"/>
  <c r="U61" i="13"/>
  <c r="N61" i="13"/>
  <c r="O61" i="13"/>
  <c r="R60" i="13"/>
  <c r="S60" i="13"/>
  <c r="T60" i="13"/>
  <c r="U60" i="13"/>
  <c r="R59" i="13"/>
  <c r="S59" i="13"/>
  <c r="T59" i="13"/>
  <c r="U59" i="13"/>
  <c r="R58" i="13"/>
  <c r="S58" i="13"/>
  <c r="T58" i="13"/>
  <c r="U58" i="13"/>
  <c r="L57" i="13"/>
  <c r="R57" i="13"/>
  <c r="S57" i="13"/>
  <c r="T57" i="13"/>
  <c r="U57" i="13"/>
  <c r="N57" i="13"/>
  <c r="O57" i="13"/>
  <c r="R56" i="13"/>
  <c r="S56" i="13"/>
  <c r="T56" i="13"/>
  <c r="U56" i="13"/>
  <c r="R55" i="13"/>
  <c r="S55" i="13"/>
  <c r="T55" i="13"/>
  <c r="U55" i="13"/>
  <c r="R54" i="13"/>
  <c r="S54" i="13"/>
  <c r="T54" i="13"/>
  <c r="U54" i="13"/>
  <c r="R53" i="13"/>
  <c r="S53" i="13"/>
  <c r="T53" i="13"/>
  <c r="U53" i="13"/>
  <c r="L52" i="13"/>
  <c r="R52" i="13"/>
  <c r="S52" i="13"/>
  <c r="T52" i="13"/>
  <c r="U52" i="13"/>
  <c r="N52" i="13"/>
  <c r="O52" i="13"/>
  <c r="R51" i="13"/>
  <c r="S51" i="13"/>
  <c r="T51" i="13"/>
  <c r="U51" i="13"/>
  <c r="L50" i="13"/>
  <c r="R50" i="13"/>
  <c r="S50" i="13"/>
  <c r="T50" i="13"/>
  <c r="U50" i="13"/>
  <c r="N50" i="13"/>
  <c r="O50" i="13"/>
  <c r="L49" i="13"/>
  <c r="R49" i="13"/>
  <c r="S49" i="13"/>
  <c r="T49" i="13"/>
  <c r="U49" i="13"/>
  <c r="N49" i="13"/>
  <c r="O49" i="13"/>
  <c r="L48" i="13"/>
  <c r="R48" i="13"/>
  <c r="S48" i="13"/>
  <c r="T48" i="13"/>
  <c r="U48" i="13"/>
  <c r="N48" i="13"/>
  <c r="O48" i="13"/>
  <c r="L47" i="13"/>
  <c r="R47" i="13"/>
  <c r="S47" i="13"/>
  <c r="T47" i="13"/>
  <c r="U47" i="13"/>
  <c r="N47" i="13"/>
  <c r="O47" i="13"/>
  <c r="L46" i="13"/>
  <c r="R46" i="13"/>
  <c r="S46" i="13"/>
  <c r="T46" i="13"/>
  <c r="U46" i="13"/>
  <c r="N46" i="13"/>
  <c r="O46" i="13"/>
  <c r="L45" i="13"/>
  <c r="R45" i="13"/>
  <c r="S45" i="13"/>
  <c r="T45" i="13"/>
  <c r="U45" i="13"/>
  <c r="N45" i="13"/>
  <c r="O45" i="13"/>
  <c r="R44" i="13"/>
  <c r="S44" i="13"/>
  <c r="T44" i="13"/>
  <c r="U44" i="13"/>
  <c r="R43" i="13"/>
  <c r="S43" i="13"/>
  <c r="T43" i="13"/>
  <c r="U43" i="13"/>
  <c r="R42" i="13"/>
  <c r="S42" i="13"/>
  <c r="T42" i="13"/>
  <c r="U42" i="13"/>
  <c r="R41" i="13"/>
  <c r="S41" i="13"/>
  <c r="T41" i="13"/>
  <c r="U41" i="13"/>
  <c r="R40" i="13"/>
  <c r="S40" i="13"/>
  <c r="T40" i="13"/>
  <c r="U40" i="13"/>
  <c r="R39" i="13"/>
  <c r="S39" i="13"/>
  <c r="T39" i="13"/>
  <c r="U39" i="13"/>
  <c r="R38" i="13"/>
  <c r="S38" i="13"/>
  <c r="T38" i="13"/>
  <c r="U38" i="13"/>
  <c r="R37" i="13"/>
  <c r="S37" i="13"/>
  <c r="T37" i="13"/>
  <c r="U37" i="13"/>
  <c r="R36" i="13"/>
  <c r="S36" i="13"/>
  <c r="T36" i="13"/>
  <c r="U36" i="13"/>
  <c r="R35" i="13"/>
  <c r="S35" i="13"/>
  <c r="T35" i="13"/>
  <c r="U35" i="13"/>
  <c r="L34" i="13"/>
  <c r="R34" i="13"/>
  <c r="S34" i="13"/>
  <c r="T34" i="13"/>
  <c r="U34" i="13"/>
  <c r="N34" i="13"/>
  <c r="O34" i="13"/>
  <c r="L33" i="13"/>
  <c r="R33" i="13"/>
  <c r="S33" i="13"/>
  <c r="T33" i="13"/>
  <c r="U33" i="13"/>
  <c r="N33" i="13"/>
  <c r="O33" i="13"/>
  <c r="L32" i="13"/>
  <c r="R32" i="13"/>
  <c r="S32" i="13"/>
  <c r="T32" i="13"/>
  <c r="U32" i="13"/>
  <c r="N32" i="13"/>
  <c r="O32" i="13"/>
  <c r="L31" i="13"/>
  <c r="R31" i="13"/>
  <c r="S31" i="13"/>
  <c r="T31" i="13"/>
  <c r="U31" i="13"/>
  <c r="N31" i="13"/>
  <c r="O31" i="13"/>
  <c r="L30" i="13"/>
  <c r="R30" i="13"/>
  <c r="S30" i="13"/>
  <c r="T30" i="13"/>
  <c r="U30" i="13"/>
  <c r="N30" i="13"/>
  <c r="O30" i="13"/>
  <c r="L29" i="13"/>
  <c r="R29" i="13"/>
  <c r="S29" i="13"/>
  <c r="T29" i="13"/>
  <c r="U29" i="13"/>
  <c r="N29" i="13"/>
  <c r="O29" i="13"/>
  <c r="L28" i="13"/>
  <c r="R28" i="13"/>
  <c r="S28" i="13"/>
  <c r="T28" i="13"/>
  <c r="U28" i="13"/>
  <c r="N28" i="13"/>
  <c r="O28" i="13"/>
  <c r="L27" i="13"/>
  <c r="R27" i="13"/>
  <c r="S27" i="13"/>
  <c r="T27" i="13"/>
  <c r="N27" i="13"/>
  <c r="O27" i="13"/>
  <c r="L26" i="13"/>
  <c r="R26" i="13"/>
  <c r="S26" i="13"/>
  <c r="T26" i="13"/>
  <c r="U26" i="13"/>
  <c r="N26" i="13"/>
  <c r="O26" i="13"/>
  <c r="L25" i="13"/>
  <c r="R25" i="13"/>
  <c r="S25" i="13"/>
  <c r="T25" i="13"/>
  <c r="N25" i="13"/>
  <c r="O25" i="13"/>
  <c r="L24" i="13"/>
  <c r="R24" i="13"/>
  <c r="S24" i="13"/>
  <c r="T24" i="13"/>
  <c r="U24" i="13"/>
  <c r="N24" i="13"/>
  <c r="O24" i="13"/>
  <c r="L23" i="13"/>
  <c r="R23" i="13"/>
  <c r="S23" i="13"/>
  <c r="T23" i="13"/>
  <c r="U23" i="13"/>
  <c r="N23" i="13"/>
  <c r="O23" i="13"/>
  <c r="L22" i="13"/>
  <c r="R22" i="13"/>
  <c r="S22" i="13"/>
  <c r="T22" i="13"/>
  <c r="U22" i="13"/>
  <c r="N22" i="13"/>
  <c r="O22" i="13"/>
  <c r="D12" i="13"/>
  <c r="D11" i="13"/>
  <c r="E15" i="2"/>
  <c r="E13" i="2"/>
  <c r="G23" i="12"/>
  <c r="G25" i="12"/>
  <c r="G30" i="12"/>
  <c r="E30" i="12"/>
  <c r="H30" i="12"/>
  <c r="G27" i="12"/>
  <c r="E27" i="12"/>
  <c r="H27" i="12"/>
  <c r="E25" i="12"/>
  <c r="H25" i="12"/>
  <c r="E23" i="12"/>
  <c r="H23" i="12"/>
  <c r="G15" i="12"/>
  <c r="E15" i="12"/>
  <c r="H15" i="12"/>
  <c r="G13" i="12"/>
  <c r="E13" i="12"/>
  <c r="H13" i="12"/>
  <c r="G10" i="12"/>
  <c r="E10" i="12"/>
  <c r="H10" i="12"/>
  <c r="G7" i="12"/>
  <c r="E7" i="12"/>
  <c r="H7" i="12"/>
  <c r="G30" i="11"/>
  <c r="E30" i="11"/>
  <c r="H30" i="11"/>
  <c r="G27" i="11"/>
  <c r="E27" i="11"/>
  <c r="H27" i="11"/>
  <c r="G25" i="11"/>
  <c r="E25" i="11"/>
  <c r="H25" i="11"/>
  <c r="G23" i="11"/>
  <c r="E23" i="11"/>
  <c r="H23" i="11"/>
  <c r="G15" i="11"/>
  <c r="E15" i="11"/>
  <c r="H15" i="11"/>
  <c r="G13" i="11"/>
  <c r="E13" i="11"/>
  <c r="H13" i="11"/>
  <c r="G10" i="11"/>
  <c r="E10" i="11"/>
  <c r="H10" i="11"/>
  <c r="G7" i="11"/>
  <c r="E7" i="11"/>
  <c r="H7" i="11"/>
  <c r="R27" i="4"/>
  <c r="R28" i="4"/>
  <c r="R29" i="4"/>
  <c r="S27" i="4"/>
  <c r="U27" i="4"/>
  <c r="R23" i="4"/>
  <c r="R24" i="4"/>
  <c r="S23" i="4"/>
  <c r="U23" i="4"/>
  <c r="R7" i="4"/>
  <c r="R8" i="4"/>
  <c r="R9" i="4"/>
  <c r="S7" i="4"/>
  <c r="U7" i="4"/>
  <c r="AD8" i="1"/>
  <c r="AD9" i="1"/>
  <c r="AD13" i="1"/>
  <c r="AD14" i="1"/>
  <c r="AD23" i="1"/>
  <c r="AD24" i="1"/>
  <c r="AD27" i="1"/>
  <c r="AD28" i="1"/>
  <c r="AD29" i="1"/>
  <c r="AD7" i="1"/>
  <c r="AF27" i="1"/>
  <c r="X23" i="1"/>
  <c r="AA23" i="1"/>
  <c r="X24" i="1"/>
  <c r="AA24" i="1"/>
  <c r="AF23" i="1"/>
  <c r="AF13" i="1"/>
  <c r="AF7" i="1"/>
  <c r="Z27" i="1"/>
  <c r="X27" i="1"/>
  <c r="AA27" i="1"/>
  <c r="Z28" i="1"/>
  <c r="X28" i="1"/>
  <c r="AA28" i="1"/>
  <c r="Z29" i="1"/>
  <c r="X29" i="1"/>
  <c r="AA29" i="1"/>
  <c r="AE27" i="1"/>
  <c r="Z23" i="1"/>
  <c r="Z24" i="1"/>
  <c r="AE23" i="1"/>
  <c r="Z13" i="1"/>
  <c r="X13" i="1"/>
  <c r="AA13" i="1"/>
  <c r="Z14" i="1"/>
  <c r="X14" i="1"/>
  <c r="AA14" i="1"/>
  <c r="AE13" i="1"/>
  <c r="Z8" i="1"/>
  <c r="X8" i="1"/>
  <c r="AA8" i="1"/>
  <c r="Z9" i="1"/>
  <c r="X9" i="1"/>
  <c r="AA9" i="1"/>
  <c r="Z7" i="1"/>
  <c r="X7" i="1"/>
  <c r="AA7" i="1"/>
  <c r="AE7" i="1"/>
  <c r="AC27" i="1"/>
  <c r="AC23" i="1"/>
  <c r="AC13" i="1"/>
  <c r="AC7" i="1"/>
  <c r="AB27" i="1"/>
  <c r="AB23" i="1"/>
  <c r="AB13" i="1"/>
  <c r="AB7" i="1"/>
  <c r="K25" i="1"/>
  <c r="K23" i="1"/>
  <c r="N23" i="1"/>
  <c r="S23" i="1"/>
  <c r="T23" i="1"/>
  <c r="U23" i="1"/>
  <c r="V23" i="1"/>
  <c r="K26" i="1"/>
  <c r="K24" i="1"/>
  <c r="N24" i="1"/>
  <c r="S24" i="1"/>
  <c r="T24" i="1"/>
  <c r="U24" i="1"/>
  <c r="V24" i="1"/>
  <c r="K11" i="1"/>
  <c r="K8" i="1"/>
  <c r="N8" i="1"/>
  <c r="S8" i="1"/>
  <c r="T8" i="1"/>
  <c r="U8" i="1"/>
  <c r="V8" i="1"/>
  <c r="K10" i="1"/>
  <c r="K7" i="1"/>
  <c r="N7" i="1"/>
  <c r="S7" i="1"/>
  <c r="T7" i="1"/>
  <c r="U7" i="1"/>
  <c r="V7" i="1"/>
  <c r="K12" i="1"/>
  <c r="K9" i="1"/>
  <c r="N9" i="1"/>
  <c r="S9" i="1"/>
  <c r="T9" i="1"/>
  <c r="U9" i="1"/>
  <c r="V9" i="1"/>
  <c r="K15" i="1"/>
  <c r="K13" i="1"/>
  <c r="N13" i="1"/>
  <c r="S13" i="1"/>
  <c r="T13" i="1"/>
  <c r="U13" i="1"/>
  <c r="V13" i="1"/>
  <c r="K16" i="1"/>
  <c r="K14" i="1"/>
  <c r="N14" i="1"/>
  <c r="S14" i="1"/>
  <c r="T14" i="1"/>
  <c r="U14" i="1"/>
  <c r="V14" i="1"/>
  <c r="K30" i="1"/>
  <c r="K27" i="1"/>
  <c r="N27" i="1"/>
  <c r="S27" i="1"/>
  <c r="T27" i="1"/>
  <c r="U27" i="1"/>
  <c r="V27" i="1"/>
  <c r="K31" i="1"/>
  <c r="K28" i="1"/>
  <c r="N28" i="1"/>
  <c r="S28" i="1"/>
  <c r="T28" i="1"/>
  <c r="U28" i="1"/>
  <c r="V28" i="1"/>
  <c r="K32" i="1"/>
  <c r="K29" i="1"/>
  <c r="N29" i="1"/>
  <c r="S29" i="1"/>
  <c r="T29" i="1"/>
  <c r="U29" i="1"/>
  <c r="V29" i="1"/>
  <c r="H29" i="1"/>
  <c r="H32" i="1"/>
  <c r="I29" i="1"/>
  <c r="H28" i="1"/>
  <c r="H31" i="1"/>
  <c r="I28" i="1"/>
  <c r="H27" i="1"/>
  <c r="H30" i="1"/>
  <c r="I27" i="1"/>
  <c r="H24" i="1"/>
  <c r="H26" i="1"/>
  <c r="I24" i="1"/>
  <c r="H23" i="1"/>
  <c r="H25" i="1"/>
  <c r="I23" i="1"/>
  <c r="H14" i="1"/>
  <c r="H16" i="1"/>
  <c r="I14" i="1"/>
  <c r="H13" i="1"/>
  <c r="H15" i="1"/>
  <c r="I13" i="1"/>
  <c r="H9" i="1"/>
  <c r="H12" i="1"/>
  <c r="I9" i="1"/>
  <c r="H8" i="1"/>
  <c r="H11" i="1"/>
  <c r="I8" i="1"/>
  <c r="H7" i="1"/>
  <c r="H10" i="1"/>
  <c r="I7" i="1"/>
  <c r="H17" i="1"/>
  <c r="H18" i="1"/>
  <c r="H19" i="1"/>
  <c r="H20" i="1"/>
  <c r="H21" i="1"/>
  <c r="H22" i="1"/>
  <c r="E30" i="2"/>
  <c r="G30" i="2"/>
  <c r="H30" i="2"/>
  <c r="E27" i="2"/>
  <c r="G27" i="2"/>
  <c r="H27" i="2"/>
  <c r="E25" i="2"/>
  <c r="G25" i="2"/>
  <c r="H25" i="2"/>
  <c r="E23" i="2"/>
  <c r="G23" i="2"/>
  <c r="H23" i="2"/>
  <c r="G15" i="2"/>
  <c r="H15" i="2"/>
  <c r="G13" i="2"/>
  <c r="H13" i="2"/>
  <c r="E10" i="2"/>
  <c r="G10" i="2"/>
  <c r="H10" i="2"/>
  <c r="E7" i="2"/>
  <c r="G7" i="2"/>
  <c r="H7" i="2"/>
  <c r="G4" i="2"/>
  <c r="E4" i="2"/>
  <c r="H4" i="2"/>
  <c r="M28" i="1"/>
  <c r="M29" i="1"/>
  <c r="M27" i="1"/>
  <c r="M24" i="1"/>
  <c r="M23" i="1"/>
  <c r="M14" i="1"/>
  <c r="M13" i="1"/>
  <c r="M8" i="1"/>
  <c r="M9" i="1"/>
  <c r="M7" i="1"/>
  <c r="F8" i="4"/>
  <c r="F9" i="4"/>
  <c r="F14" i="4"/>
  <c r="F24" i="4"/>
  <c r="F28" i="4"/>
  <c r="F29" i="4"/>
  <c r="M10" i="1"/>
  <c r="M11" i="1"/>
  <c r="M12" i="1"/>
  <c r="M15" i="1"/>
  <c r="M16" i="1"/>
  <c r="M17" i="1"/>
  <c r="M18" i="1"/>
  <c r="M19" i="1"/>
  <c r="K20" i="1"/>
  <c r="M20" i="1"/>
  <c r="K21" i="1"/>
  <c r="M21" i="1"/>
  <c r="K22" i="1"/>
  <c r="M22" i="1"/>
  <c r="M25" i="1"/>
  <c r="M26" i="1"/>
  <c r="M30" i="1"/>
  <c r="M31" i="1"/>
  <c r="M32" i="1"/>
  <c r="T27" i="4"/>
  <c r="T23" i="4"/>
  <c r="T13" i="4"/>
  <c r="T7" i="4"/>
  <c r="T4" i="4"/>
  <c r="I27" i="4"/>
  <c r="I23" i="4"/>
  <c r="I13" i="4"/>
  <c r="I7" i="4"/>
  <c r="I4" i="4"/>
  <c r="G30" i="3"/>
  <c r="G27" i="3"/>
  <c r="G25" i="3"/>
  <c r="G23" i="3"/>
  <c r="G20" i="3"/>
  <c r="G15" i="3"/>
  <c r="G13" i="3"/>
  <c r="G10" i="3"/>
  <c r="G7" i="3"/>
  <c r="G4" i="3"/>
  <c r="E30" i="3"/>
  <c r="E27" i="3"/>
  <c r="E25" i="3"/>
  <c r="E23" i="3"/>
  <c r="E20" i="3"/>
  <c r="E15" i="3"/>
  <c r="E13" i="3"/>
  <c r="E7" i="3"/>
  <c r="E4" i="3"/>
  <c r="E7" i="1"/>
  <c r="E13" i="1"/>
  <c r="E27" i="1"/>
  <c r="E23" i="1"/>
  <c r="P27" i="1"/>
  <c r="P23" i="1"/>
  <c r="P13" i="1"/>
  <c r="P7" i="1"/>
  <c r="O27" i="1"/>
  <c r="O23" i="1"/>
  <c r="O13" i="1"/>
  <c r="O7" i="1"/>
  <c r="L30" i="1"/>
  <c r="L27" i="1"/>
  <c r="L25" i="1"/>
  <c r="L23" i="1"/>
  <c r="L20" i="1"/>
  <c r="L15" i="1"/>
  <c r="L13" i="1"/>
  <c r="L10" i="1"/>
  <c r="L7" i="1"/>
  <c r="E4" i="4"/>
</calcChain>
</file>

<file path=xl/sharedStrings.xml><?xml version="1.0" encoding="utf-8"?>
<sst xmlns="http://schemas.openxmlformats.org/spreadsheetml/2006/main" count="371" uniqueCount="76">
  <si>
    <t>Abundance Change</t>
  </si>
  <si>
    <t>Time</t>
  </si>
  <si>
    <t>Treatment</t>
  </si>
  <si>
    <t>cell/ml</t>
  </si>
  <si>
    <t>Predator Only</t>
  </si>
  <si>
    <t>Pred + Prey A</t>
  </si>
  <si>
    <t>Prey A</t>
  </si>
  <si>
    <t>Pred + Prey B</t>
  </si>
  <si>
    <t>Prey B</t>
  </si>
  <si>
    <t>Pred + Prey C</t>
  </si>
  <si>
    <t>Prey C</t>
  </si>
  <si>
    <t>Pred + Prey D</t>
  </si>
  <si>
    <t>Prey D</t>
  </si>
  <si>
    <t>Pred + Prey E</t>
  </si>
  <si>
    <t>Prey E</t>
  </si>
  <si>
    <t>ehux</t>
  </si>
  <si>
    <t>omar</t>
  </si>
  <si>
    <t>average</t>
  </si>
  <si>
    <t>Rep</t>
  </si>
  <si>
    <t>Side Scatter</t>
  </si>
  <si>
    <t>SSC</t>
  </si>
  <si>
    <t>fv/fm</t>
  </si>
  <si>
    <t>Average</t>
  </si>
  <si>
    <t>t = 0</t>
  </si>
  <si>
    <t>t = 48</t>
  </si>
  <si>
    <t>Growth Rate</t>
  </si>
  <si>
    <t>Grazing Rate</t>
  </si>
  <si>
    <t>Tube #</t>
  </si>
  <si>
    <t>growth rate</t>
  </si>
  <si>
    <t>stdev</t>
  </si>
  <si>
    <t>per h</t>
  </si>
  <si>
    <t>k-g</t>
  </si>
  <si>
    <t>average preds</t>
  </si>
  <si>
    <t>&lt;C&gt; from frost</t>
  </si>
  <si>
    <t>IR</t>
  </si>
  <si>
    <t>k-g*2</t>
  </si>
  <si>
    <t>F</t>
  </si>
  <si>
    <t>(e^(k-g*2))-1</t>
  </si>
  <si>
    <t>CR</t>
  </si>
  <si>
    <t>Diff</t>
  </si>
  <si>
    <t>t48-t0</t>
  </si>
  <si>
    <t>IR average</t>
  </si>
  <si>
    <t>stdev IR</t>
  </si>
  <si>
    <t>Av CR</t>
  </si>
  <si>
    <t>Stdev CR</t>
  </si>
  <si>
    <t>Forward Scatter Mean</t>
  </si>
  <si>
    <t>FSC</t>
  </si>
  <si>
    <t>Red Fluoro Scatter</t>
  </si>
  <si>
    <t>Red</t>
  </si>
  <si>
    <t>DMSP - Test</t>
  </si>
  <si>
    <t>Standard Curve</t>
  </si>
  <si>
    <t>nM</t>
  </si>
  <si>
    <t>Area</t>
  </si>
  <si>
    <t>SQRT(Area)</t>
  </si>
  <si>
    <t>Biovolume</t>
  </si>
  <si>
    <t>#</t>
  </si>
  <si>
    <t>SQRT(par)</t>
  </si>
  <si>
    <t>nM(par)</t>
  </si>
  <si>
    <t>cells/ml</t>
  </si>
  <si>
    <t>cells</t>
  </si>
  <si>
    <t>nmol</t>
  </si>
  <si>
    <t>nmol/cell</t>
  </si>
  <si>
    <t>fmol/cell</t>
  </si>
  <si>
    <t>biovolume</t>
  </si>
  <si>
    <t>nmol/ml</t>
  </si>
  <si>
    <t>nmol/l</t>
  </si>
  <si>
    <t>mM</t>
  </si>
  <si>
    <t>Prey Only</t>
  </si>
  <si>
    <t>Pred + Prey</t>
  </si>
  <si>
    <t>Blank</t>
  </si>
  <si>
    <t>Ret time</t>
  </si>
  <si>
    <t>Ret Time</t>
  </si>
  <si>
    <t>dilution</t>
  </si>
  <si>
    <t>na</t>
  </si>
  <si>
    <t>w/out pred</t>
  </si>
  <si>
    <t>w/pred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</si>
</sst>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0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3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1" xfId="0" applyFont="1" applyFill="1" applyBorder="1" applyAlignment="1">
      <alignment horizontal="right" shrinkToFit="1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0" fontId="3" fillId="0" borderId="0" xfId="0" applyFont="1"/>
    <xf numFmtId="0" fontId="3" fillId="3" borderId="2" xfId="0" applyFont="1" applyFill="1" applyBorder="1"/>
    <xf numFmtId="0" fontId="3" fillId="3" borderId="4" xfId="0" applyFont="1" applyFill="1" applyBorder="1"/>
    <xf numFmtId="0" fontId="3" fillId="0" borderId="4" xfId="0" applyFont="1" applyBorder="1"/>
    <xf numFmtId="0" fontId="0" fillId="0" borderId="1" xfId="0" applyFill="1" applyBorder="1"/>
    <xf numFmtId="0" fontId="0" fillId="0" borderId="1" xfId="0" applyFont="1" applyFill="1" applyBorder="1" applyAlignment="1">
      <alignment horizontal="right" shrinkToFit="1"/>
    </xf>
    <xf numFmtId="0" fontId="0" fillId="0" borderId="0" xfId="0" applyFill="1"/>
    <xf numFmtId="0" fontId="0" fillId="0" borderId="0" xfId="0" applyFill="1" applyBorder="1"/>
    <xf numFmtId="0" fontId="0" fillId="2" borderId="6" xfId="0" applyFont="1" applyFill="1" applyBorder="1" applyAlignment="1">
      <alignment horizontal="right" shrinkToFit="1"/>
    </xf>
    <xf numFmtId="0" fontId="0" fillId="2" borderId="5" xfId="0" applyFont="1" applyFill="1" applyBorder="1" applyAlignment="1">
      <alignment horizontal="right" shrinkToFit="1"/>
    </xf>
    <xf numFmtId="0" fontId="0" fillId="0" borderId="5" xfId="0" applyFont="1" applyBorder="1" applyAlignment="1">
      <alignment horizontal="right" shrinkToFit="1"/>
    </xf>
    <xf numFmtId="0" fontId="0" fillId="0" borderId="7" xfId="0" applyBorder="1"/>
    <xf numFmtId="0" fontId="0" fillId="0" borderId="4" xfId="0" applyBorder="1"/>
    <xf numFmtId="0" fontId="3" fillId="0" borderId="4" xfId="0" applyFont="1" applyFill="1" applyBorder="1"/>
    <xf numFmtId="0" fontId="3" fillId="2" borderId="4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0" borderId="3" xfId="0" applyFont="1" applyBorder="1" applyAlignment="1">
      <alignment horizontal="right" shrinkToFit="1"/>
    </xf>
    <xf numFmtId="0" fontId="3" fillId="3" borderId="3" xfId="0" applyFont="1" applyFill="1" applyBorder="1" applyAlignment="1">
      <alignment horizontal="right" shrinkToFit="1"/>
    </xf>
    <xf numFmtId="0" fontId="3" fillId="2" borderId="3" xfId="0" applyFont="1" applyFill="1" applyBorder="1" applyAlignment="1">
      <alignment horizontal="right" shrinkToFit="1"/>
    </xf>
    <xf numFmtId="0" fontId="0" fillId="0" borderId="0" xfId="0" applyAlignment="1">
      <alignment horizontal="center"/>
    </xf>
    <xf numFmtId="165" fontId="0" fillId="2" borderId="1" xfId="0" applyNumberFormat="1" applyFill="1" applyBorder="1"/>
    <xf numFmtId="1" fontId="0" fillId="0" borderId="1" xfId="0" applyNumberFormat="1" applyFill="1" applyBorder="1"/>
    <xf numFmtId="164" fontId="0" fillId="0" borderId="1" xfId="0" applyNumberFormat="1" applyFill="1" applyBorder="1" applyAlignment="1">
      <alignment horizontal="right"/>
    </xf>
    <xf numFmtId="0" fontId="5" fillId="0" borderId="0" xfId="0" applyFont="1"/>
    <xf numFmtId="164" fontId="0" fillId="2" borderId="1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0" xfId="0" applyBorder="1"/>
    <xf numFmtId="0" fontId="0" fillId="0" borderId="0" xfId="0" applyAlignment="1">
      <alignment horizontal="right"/>
    </xf>
    <xf numFmtId="11" fontId="0" fillId="0" borderId="0" xfId="0" applyNumberFormat="1"/>
    <xf numFmtId="0" fontId="5" fillId="0" borderId="7" xfId="0" applyFont="1" applyBorder="1"/>
    <xf numFmtId="0" fontId="5" fillId="0" borderId="7" xfId="0" applyFont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4" borderId="1" xfId="0" applyFont="1" applyFill="1" applyBorder="1"/>
    <xf numFmtId="11" fontId="0" fillId="2" borderId="1" xfId="0" applyNumberFormat="1" applyFill="1" applyBorder="1"/>
    <xf numFmtId="0" fontId="5" fillId="5" borderId="1" xfId="0" applyNumberFormat="1" applyFont="1" applyFill="1" applyBorder="1"/>
    <xf numFmtId="0" fontId="0" fillId="2" borderId="0" xfId="0" applyFill="1"/>
    <xf numFmtId="0" fontId="0" fillId="0" borderId="5" xfId="0" applyFont="1" applyFill="1" applyBorder="1" applyAlignment="1">
      <alignment horizontal="right" shrinkToFit="1"/>
    </xf>
    <xf numFmtId="11" fontId="0" fillId="0" borderId="1" xfId="0" applyNumberFormat="1" applyFill="1" applyBorder="1"/>
    <xf numFmtId="0" fontId="0" fillId="0" borderId="8" xfId="0" applyFont="1" applyFill="1" applyBorder="1" applyAlignment="1">
      <alignment horizontal="right" shrinkToFit="1"/>
    </xf>
    <xf numFmtId="0" fontId="0" fillId="0" borderId="9" xfId="0" applyFont="1" applyFill="1" applyBorder="1" applyAlignment="1">
      <alignment horizontal="right" shrinkToFit="1"/>
    </xf>
    <xf numFmtId="0" fontId="0" fillId="0" borderId="8" xfId="0" applyFill="1" applyBorder="1"/>
    <xf numFmtId="0" fontId="5" fillId="4" borderId="8" xfId="0" applyFont="1" applyFill="1" applyBorder="1"/>
    <xf numFmtId="11" fontId="0" fillId="0" borderId="8" xfId="0" applyNumberFormat="1" applyFill="1" applyBorder="1"/>
    <xf numFmtId="0" fontId="5" fillId="5" borderId="8" xfId="0" applyNumberFormat="1" applyFont="1" applyFill="1" applyBorder="1"/>
    <xf numFmtId="0" fontId="0" fillId="2" borderId="3" xfId="0" applyFont="1" applyFill="1" applyBorder="1" applyAlignment="1">
      <alignment horizontal="right" shrinkToFit="1"/>
    </xf>
    <xf numFmtId="0" fontId="0" fillId="2" borderId="3" xfId="0" applyFill="1" applyBorder="1"/>
    <xf numFmtId="0" fontId="5" fillId="4" borderId="3" xfId="0" applyFont="1" applyFill="1" applyBorder="1"/>
    <xf numFmtId="11" fontId="0" fillId="2" borderId="3" xfId="0" applyNumberFormat="1" applyFill="1" applyBorder="1"/>
    <xf numFmtId="0" fontId="5" fillId="5" borderId="3" xfId="0" applyNumberFormat="1" applyFont="1" applyFill="1" applyBorder="1"/>
    <xf numFmtId="11" fontId="5" fillId="5" borderId="1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90834079871752"/>
          <c:y val="0.024340770791075"/>
          <c:w val="0.865831800964999"/>
          <c:h val="0.894523326572008"/>
        </c:manualLayout>
      </c:layout>
      <c:scatterChart>
        <c:scatterStyle val="lineMarker"/>
        <c:varyColors val="0"/>
        <c:ser>
          <c:idx val="0"/>
          <c:order val="0"/>
          <c:trendline>
            <c:trendlineType val="linear"/>
            <c:dispRSqr val="1"/>
            <c:dispEq val="1"/>
            <c:trendlineLbl>
              <c:layout>
                <c:manualLayout>
                  <c:x val="-0.422932911687926"/>
                  <c:y val="-0.13263100733098"/>
                </c:manualLayout>
              </c:layout>
              <c:numFmt formatCode="General" sourceLinked="0"/>
            </c:trendlineLbl>
          </c:trendline>
          <c:xVal>
            <c:numRef>
              <c:f>DMSPp!$D$5:$D$13</c:f>
              <c:numCache>
                <c:formatCode>General</c:formatCode>
                <c:ptCount val="9"/>
                <c:pt idx="0">
                  <c:v>0.0</c:v>
                </c:pt>
                <c:pt idx="1">
                  <c:v>4136.93642687436</c:v>
                </c:pt>
                <c:pt idx="2">
                  <c:v>4247.24169314627</c:v>
                </c:pt>
                <c:pt idx="3">
                  <c:v>6484.785115946403</c:v>
                </c:pt>
                <c:pt idx="4">
                  <c:v>11902.82542088222</c:v>
                </c:pt>
                <c:pt idx="5">
                  <c:v>23506.97307183551</c:v>
                </c:pt>
                <c:pt idx="6">
                  <c:v>27099.69865146105</c:v>
                </c:pt>
                <c:pt idx="7">
                  <c:v>101634.3609612418</c:v>
                </c:pt>
                <c:pt idx="8">
                  <c:v>138665.6472346341</c:v>
                </c:pt>
              </c:numCache>
            </c:numRef>
          </c:xVal>
          <c:yVal>
            <c:numRef>
              <c:f>DMSPp!$A$5:$A$13</c:f>
              <c:numCache>
                <c:formatCode>General</c:formatCode>
                <c:ptCount val="9"/>
                <c:pt idx="0">
                  <c:v>0.0</c:v>
                </c:pt>
                <c:pt idx="1">
                  <c:v>75.0</c:v>
                </c:pt>
                <c:pt idx="2">
                  <c:v>100.0</c:v>
                </c:pt>
                <c:pt idx="3">
                  <c:v>250.0</c:v>
                </c:pt>
                <c:pt idx="4">
                  <c:v>500.0</c:v>
                </c:pt>
                <c:pt idx="5">
                  <c:v>750.0</c:v>
                </c:pt>
                <c:pt idx="6">
                  <c:v>1000.0</c:v>
                </c:pt>
                <c:pt idx="7">
                  <c:v>2500.0</c:v>
                </c:pt>
                <c:pt idx="8">
                  <c:v>5000.0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7310600"/>
        <c:axId val="-2044354776"/>
      </c:scatterChart>
      <c:valAx>
        <c:axId val="-2067310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44354776"/>
        <c:crosses val="autoZero"/>
        <c:crossBetween val="midCat"/>
      </c:valAx>
      <c:valAx>
        <c:axId val="-2044354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-2067310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660400</xdr:colOff>
      <xdr:row>2</xdr:row>
      <xdr:rowOff>82550</xdr:rowOff>
    </xdr:from>
    <xdr:to>
      <xdr:col>15</xdr:col>
      <xdr:colOff>419100</xdr:colOff>
      <xdr:row>18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1"/>
  <sheetViews>
    <sheetView workbookViewId="0">
      <selection activeCell="I8" sqref="I8"/>
    </sheetView>
  </sheetViews>
  <sheetFormatPr baseColWidth="10" defaultRowHeight="15" x14ac:dyDescent="0"/>
  <cols>
    <col min="2" max="2" width="15.6640625" customWidth="1"/>
    <col min="3" max="3" width="5" customWidth="1"/>
    <col min="11" max="11" width="11.6640625" customWidth="1"/>
    <col min="14" max="14" width="11.83203125" customWidth="1"/>
    <col min="20" max="20" width="12.1640625" bestFit="1" customWidth="1"/>
    <col min="21" max="21" width="12.1640625" customWidth="1"/>
    <col min="22" max="24" width="13" customWidth="1"/>
    <col min="25" max="26" width="12.33203125" customWidth="1"/>
  </cols>
  <sheetData>
    <row r="1" spans="1:32">
      <c r="A1" t="s">
        <v>0</v>
      </c>
      <c r="D1" t="s">
        <v>23</v>
      </c>
      <c r="F1" t="s">
        <v>24</v>
      </c>
    </row>
    <row r="2" spans="1:32">
      <c r="D2" t="s">
        <v>15</v>
      </c>
      <c r="F2" t="s">
        <v>15</v>
      </c>
      <c r="K2" t="s">
        <v>25</v>
      </c>
      <c r="L2" s="30" t="s">
        <v>22</v>
      </c>
      <c r="N2" t="s">
        <v>26</v>
      </c>
    </row>
    <row r="3" spans="1:32">
      <c r="A3" t="s">
        <v>1</v>
      </c>
      <c r="B3" t="s">
        <v>2</v>
      </c>
      <c r="C3" t="s">
        <v>18</v>
      </c>
      <c r="D3" t="s">
        <v>3</v>
      </c>
      <c r="F3" t="s">
        <v>3</v>
      </c>
      <c r="M3" t="s">
        <v>30</v>
      </c>
      <c r="O3" s="30" t="s">
        <v>22</v>
      </c>
      <c r="S3" t="s">
        <v>31</v>
      </c>
      <c r="T3" t="s">
        <v>37</v>
      </c>
      <c r="U3" t="s">
        <v>35</v>
      </c>
      <c r="V3" t="s">
        <v>33</v>
      </c>
      <c r="Y3" t="s">
        <v>32</v>
      </c>
      <c r="Z3" t="s">
        <v>36</v>
      </c>
      <c r="AA3" s="30" t="s">
        <v>34</v>
      </c>
      <c r="AB3" s="30" t="s">
        <v>41</v>
      </c>
      <c r="AC3" s="30" t="s">
        <v>42</v>
      </c>
      <c r="AD3" s="30" t="s">
        <v>38</v>
      </c>
      <c r="AE3" s="30" t="s">
        <v>43</v>
      </c>
      <c r="AF3" t="s">
        <v>44</v>
      </c>
    </row>
    <row r="4" spans="1:32" s="3" customFormat="1">
      <c r="A4" s="3">
        <v>0</v>
      </c>
      <c r="B4" s="4" t="s">
        <v>4</v>
      </c>
      <c r="C4" s="3">
        <v>1</v>
      </c>
    </row>
    <row r="5" spans="1:32" s="3" customFormat="1">
      <c r="A5" s="3">
        <v>0</v>
      </c>
      <c r="B5" s="4" t="s">
        <v>4</v>
      </c>
      <c r="C5" s="3">
        <v>2</v>
      </c>
    </row>
    <row r="6" spans="1:32" s="3" customFormat="1">
      <c r="A6" s="3">
        <v>0</v>
      </c>
      <c r="B6" s="4" t="s">
        <v>4</v>
      </c>
      <c r="C6" s="3">
        <v>3</v>
      </c>
    </row>
    <row r="7" spans="1:32" s="10" customFormat="1">
      <c r="A7" s="10">
        <v>0</v>
      </c>
      <c r="B7" s="11" t="s">
        <v>5</v>
      </c>
      <c r="C7" s="10">
        <v>1</v>
      </c>
      <c r="D7" s="10">
        <v>4459</v>
      </c>
      <c r="E7" s="10">
        <f>AVERAGE(D7:D9)</f>
        <v>4359</v>
      </c>
      <c r="F7" s="10">
        <v>2326</v>
      </c>
      <c r="H7" s="10">
        <f t="shared" ref="H7:H32" si="0">D7-F7</f>
        <v>2133</v>
      </c>
      <c r="I7" s="10">
        <f>H7-H10</f>
        <v>5655</v>
      </c>
      <c r="J7" s="10">
        <f>I7*11.4</f>
        <v>64467</v>
      </c>
      <c r="K7" s="10">
        <f t="shared" ref="K7:K16" si="1">((LN(F7/D7))/(2-0))</f>
        <v>-0.3253872357744334</v>
      </c>
      <c r="L7" s="10">
        <f>AVERAGE(K7:K9)</f>
        <v>-0.34022821411635817</v>
      </c>
      <c r="M7" s="10">
        <f>K7/24</f>
        <v>-1.3557801490601392E-2</v>
      </c>
      <c r="N7" s="10">
        <f>K10-K7</f>
        <v>0.65000915406536497</v>
      </c>
      <c r="O7" s="10">
        <f>AVERAGE(N7:N9)</f>
        <v>0.63336524308166764</v>
      </c>
      <c r="P7" s="10">
        <f>STDEV(N7:N9)</f>
        <v>3.0477407834416357E-2</v>
      </c>
      <c r="S7" s="29">
        <f>K10-N7</f>
        <v>-0.32538723577443346</v>
      </c>
      <c r="T7" s="10">
        <f>((EXP(S7*2))-1)</f>
        <v>-0.47835837631755995</v>
      </c>
      <c r="U7" s="10">
        <f>S7*2</f>
        <v>-0.65077447154886692</v>
      </c>
      <c r="V7" s="28">
        <f>(D7*T7)/U7</f>
        <v>3277.6331790080553</v>
      </c>
      <c r="W7" s="28">
        <v>5655</v>
      </c>
      <c r="X7" s="28">
        <f>W7/2</f>
        <v>2827.5</v>
      </c>
      <c r="Y7" s="10">
        <v>138560</v>
      </c>
      <c r="Z7" s="10">
        <f>320/Y7</f>
        <v>2.3094688221709007E-3</v>
      </c>
      <c r="AA7" s="10">
        <f>Z7*X7</f>
        <v>6.5300230946882216</v>
      </c>
      <c r="AB7" s="10">
        <f>AVERAGE(AA7:AA9)</f>
        <v>7.4431085455962913</v>
      </c>
      <c r="AC7" s="10">
        <f>STDEV(AA7:AA9)</f>
        <v>0.79227884425757389</v>
      </c>
      <c r="AD7" s="10">
        <f>(AA7/D7)*1000</f>
        <v>1.4644590927760084</v>
      </c>
      <c r="AE7" s="10">
        <f>AVERAGE(AD7:AD9)</f>
        <v>1.7107525965600476</v>
      </c>
      <c r="AF7" s="10">
        <f>STDEV(AD7:AD9)</f>
        <v>0.21515029738820002</v>
      </c>
    </row>
    <row r="8" spans="1:32" s="10" customFormat="1">
      <c r="A8" s="10">
        <v>0</v>
      </c>
      <c r="B8" s="11" t="s">
        <v>5</v>
      </c>
      <c r="C8" s="10">
        <v>2</v>
      </c>
      <c r="D8" s="10">
        <v>4216</v>
      </c>
      <c r="F8" s="10">
        <v>2126</v>
      </c>
      <c r="H8" s="10">
        <f t="shared" si="0"/>
        <v>2090</v>
      </c>
      <c r="I8" s="10">
        <f>H8-H11</f>
        <v>5095</v>
      </c>
      <c r="J8" s="10">
        <f t="shared" ref="J8:J32" si="2">I8*11.4</f>
        <v>58083</v>
      </c>
      <c r="K8" s="10">
        <f t="shared" si="1"/>
        <v>-0.34232226565965251</v>
      </c>
      <c r="M8" s="10">
        <f t="shared" ref="M8:M32" si="3">K8/24</f>
        <v>-1.4263427735818854E-2</v>
      </c>
      <c r="N8" s="10">
        <f>K11-K8</f>
        <v>0.65189673352661481</v>
      </c>
      <c r="S8" s="29">
        <f t="shared" ref="S8:S29" si="4">K11-N8</f>
        <v>-0.34232226565965257</v>
      </c>
      <c r="T8" s="10">
        <f t="shared" ref="T8:T9" si="5">((EXP(S8*2))-1)</f>
        <v>-0.49573055028463009</v>
      </c>
      <c r="U8" s="10">
        <f t="shared" ref="U8:U29" si="6">S8*2</f>
        <v>-0.68464453131930514</v>
      </c>
      <c r="V8" s="28">
        <f>(D8*T8)/U8</f>
        <v>3052.6790245042712</v>
      </c>
      <c r="W8" s="28">
        <v>5095</v>
      </c>
      <c r="X8" s="28">
        <f t="shared" ref="X8:X29" si="7">W8/2</f>
        <v>2547.5</v>
      </c>
      <c r="Y8" s="10">
        <v>103840</v>
      </c>
      <c r="Z8" s="10">
        <f t="shared" ref="Z8:Z29" si="8">320/Y8</f>
        <v>3.0816640986132513E-3</v>
      </c>
      <c r="AA8" s="10">
        <f t="shared" ref="AA8:AA29" si="9">Z8*X8</f>
        <v>7.8505392912172578</v>
      </c>
      <c r="AD8" s="10">
        <f t="shared" ref="AD8:AD29" si="10">(AA8/D8)*1000</f>
        <v>1.8620823745771484</v>
      </c>
    </row>
    <row r="9" spans="1:32" s="10" customFormat="1">
      <c r="A9" s="10">
        <v>0</v>
      </c>
      <c r="B9" s="11" t="s">
        <v>5</v>
      </c>
      <c r="C9" s="10">
        <v>3</v>
      </c>
      <c r="D9" s="10">
        <v>4402</v>
      </c>
      <c r="F9" s="10">
        <v>2173</v>
      </c>
      <c r="H9" s="10">
        <f t="shared" si="0"/>
        <v>2229</v>
      </c>
      <c r="I9" s="10">
        <f>H9-H12</f>
        <v>4499</v>
      </c>
      <c r="J9" s="10">
        <f t="shared" si="2"/>
        <v>51288.6</v>
      </c>
      <c r="K9" s="10">
        <f t="shared" si="1"/>
        <v>-0.35297514091498866</v>
      </c>
      <c r="M9" s="10">
        <f t="shared" si="3"/>
        <v>-1.4707297538124527E-2</v>
      </c>
      <c r="N9" s="10">
        <f>K12-K9</f>
        <v>0.59818984165302325</v>
      </c>
      <c r="S9" s="29">
        <f t="shared" si="4"/>
        <v>-0.35297514091498861</v>
      </c>
      <c r="T9" s="10">
        <f t="shared" si="5"/>
        <v>-0.50636074511585638</v>
      </c>
      <c r="U9" s="10">
        <f t="shared" si="6"/>
        <v>-0.70595028182997721</v>
      </c>
      <c r="V9" s="28">
        <f>(D9*T9)/U9</f>
        <v>3157.446150771334</v>
      </c>
      <c r="W9" s="28">
        <v>4499</v>
      </c>
      <c r="X9" s="28">
        <f t="shared" si="7"/>
        <v>2249.5</v>
      </c>
      <c r="Y9" s="10">
        <v>90560</v>
      </c>
      <c r="Z9" s="10">
        <f t="shared" si="8"/>
        <v>3.5335689045936395E-3</v>
      </c>
      <c r="AA9" s="10">
        <f t="shared" si="9"/>
        <v>7.9487632508833919</v>
      </c>
      <c r="AD9" s="10">
        <f t="shared" si="10"/>
        <v>1.8057163223269859</v>
      </c>
    </row>
    <row r="10" spans="1:32" s="3" customFormat="1">
      <c r="A10" s="3">
        <v>0</v>
      </c>
      <c r="B10" s="1" t="s">
        <v>6</v>
      </c>
      <c r="C10" s="3">
        <v>1</v>
      </c>
      <c r="D10" s="3">
        <v>3853</v>
      </c>
      <c r="F10" s="3">
        <v>7375</v>
      </c>
      <c r="H10" s="10">
        <f t="shared" si="0"/>
        <v>-3522</v>
      </c>
      <c r="I10" s="10"/>
      <c r="J10" s="10">
        <f t="shared" si="2"/>
        <v>0</v>
      </c>
      <c r="K10" s="3">
        <f t="shared" si="1"/>
        <v>0.32462191829093151</v>
      </c>
      <c r="L10" s="3">
        <f>AVERAGE(K10:K12)</f>
        <v>0.29313702896530947</v>
      </c>
      <c r="M10" s="3">
        <f t="shared" si="3"/>
        <v>1.3525913262122146E-2</v>
      </c>
      <c r="S10" s="31"/>
      <c r="V10" s="5"/>
      <c r="W10" s="5"/>
      <c r="X10" s="28"/>
      <c r="AA10" s="10"/>
      <c r="AB10" s="10"/>
      <c r="AC10" s="10"/>
      <c r="AD10" s="10"/>
    </row>
    <row r="11" spans="1:32" s="3" customFormat="1">
      <c r="A11" s="3">
        <v>0</v>
      </c>
      <c r="B11" s="1" t="s">
        <v>6</v>
      </c>
      <c r="C11" s="3">
        <v>2</v>
      </c>
      <c r="D11" s="3">
        <v>3505</v>
      </c>
      <c r="F11" s="3">
        <v>6510</v>
      </c>
      <c r="H11" s="10">
        <f t="shared" si="0"/>
        <v>-3005</v>
      </c>
      <c r="I11" s="10"/>
      <c r="J11" s="10">
        <f t="shared" si="2"/>
        <v>0</v>
      </c>
      <c r="K11" s="3">
        <f t="shared" si="1"/>
        <v>0.30957446786696224</v>
      </c>
      <c r="M11" s="3">
        <f t="shared" si="3"/>
        <v>1.2898936161123427E-2</v>
      </c>
      <c r="S11" s="31"/>
      <c r="V11" s="5"/>
      <c r="W11" s="5"/>
      <c r="X11" s="28"/>
      <c r="AA11" s="10"/>
      <c r="AB11" s="10"/>
      <c r="AC11" s="10"/>
      <c r="AD11" s="10"/>
    </row>
    <row r="12" spans="1:32" s="3" customFormat="1">
      <c r="A12" s="3">
        <v>0</v>
      </c>
      <c r="B12" s="1" t="s">
        <v>6</v>
      </c>
      <c r="C12" s="3">
        <v>3</v>
      </c>
      <c r="D12" s="3">
        <v>3586</v>
      </c>
      <c r="F12" s="3">
        <v>5856</v>
      </c>
      <c r="H12" s="10">
        <f t="shared" si="0"/>
        <v>-2270</v>
      </c>
      <c r="I12" s="10"/>
      <c r="J12" s="10">
        <f t="shared" si="2"/>
        <v>0</v>
      </c>
      <c r="K12" s="3">
        <f t="shared" si="1"/>
        <v>0.24521470073803461</v>
      </c>
      <c r="M12" s="3">
        <f t="shared" si="3"/>
        <v>1.0217279197418109E-2</v>
      </c>
      <c r="S12" s="31"/>
      <c r="V12" s="5"/>
      <c r="W12" s="5"/>
      <c r="X12" s="28"/>
      <c r="AA12" s="10"/>
      <c r="AB12" s="10"/>
      <c r="AC12" s="10"/>
      <c r="AD12" s="10"/>
    </row>
    <row r="13" spans="1:32" s="10" customFormat="1">
      <c r="A13" s="10">
        <v>0</v>
      </c>
      <c r="B13" s="11" t="s">
        <v>7</v>
      </c>
      <c r="C13" s="10">
        <v>1</v>
      </c>
      <c r="D13" s="10">
        <v>12577</v>
      </c>
      <c r="E13" s="10">
        <f>AVERAGE(D13:D14)</f>
        <v>12363</v>
      </c>
      <c r="F13" s="10">
        <v>3853</v>
      </c>
      <c r="H13" s="10">
        <f t="shared" si="0"/>
        <v>8724</v>
      </c>
      <c r="I13" s="10">
        <f>H13-H15</f>
        <v>15768</v>
      </c>
      <c r="J13" s="10">
        <f t="shared" si="2"/>
        <v>179755.2</v>
      </c>
      <c r="K13" s="10">
        <f t="shared" si="1"/>
        <v>-0.591508841710499</v>
      </c>
      <c r="L13" s="10">
        <f>AVERAGE(K13:K14)</f>
        <v>-0.53227288524786964</v>
      </c>
      <c r="M13" s="10">
        <f t="shared" si="3"/>
        <v>-2.4646201737937457E-2</v>
      </c>
      <c r="N13" s="10">
        <f>K15-K13</f>
        <v>0.84256943327842115</v>
      </c>
      <c r="O13" s="10">
        <f>AVERAGE(N13:N14)</f>
        <v>0.79165102716840274</v>
      </c>
      <c r="P13" s="10">
        <f>STDEV(N13:N14)</f>
        <v>7.2009500495209031E-2</v>
      </c>
      <c r="S13" s="29">
        <f>K15-N13</f>
        <v>-0.591508841710499</v>
      </c>
      <c r="T13" s="10">
        <f t="shared" ref="T13:T29" si="11">(EXP(S13*2)-1)</f>
        <v>-0.69364713365667496</v>
      </c>
      <c r="U13" s="10">
        <f t="shared" si="6"/>
        <v>-1.183017683420998</v>
      </c>
      <c r="V13" s="28">
        <f>(D13*T13)/U13</f>
        <v>7374.3614506017575</v>
      </c>
      <c r="W13" s="28">
        <v>15768</v>
      </c>
      <c r="X13" s="28">
        <f t="shared" si="7"/>
        <v>7884</v>
      </c>
      <c r="Y13" s="10">
        <v>140480</v>
      </c>
      <c r="Z13" s="10">
        <f t="shared" si="8"/>
        <v>2.2779043280182231E-3</v>
      </c>
      <c r="AA13" s="10">
        <f t="shared" si="9"/>
        <v>17.95899772209567</v>
      </c>
      <c r="AB13" s="10">
        <f>AVERAGE(AA13:AA14)</f>
        <v>15.725466602983319</v>
      </c>
      <c r="AC13" s="10">
        <f>STDEV(AA13:AA14)</f>
        <v>3.1586900006310441</v>
      </c>
      <c r="AD13" s="10">
        <f t="shared" si="10"/>
        <v>1.4279238071158202</v>
      </c>
      <c r="AE13" s="10">
        <f>AVERAGE(AD13:AD14)</f>
        <v>1.2692312872055753</v>
      </c>
      <c r="AF13" s="10">
        <f>STDEV(AD13:AD14)</f>
        <v>0.22442511390422998</v>
      </c>
    </row>
    <row r="14" spans="1:32" s="10" customFormat="1">
      <c r="A14" s="10">
        <v>0</v>
      </c>
      <c r="B14" s="11" t="s">
        <v>7</v>
      </c>
      <c r="C14" s="10">
        <v>2</v>
      </c>
      <c r="D14" s="10">
        <v>12149</v>
      </c>
      <c r="F14" s="10">
        <v>4717</v>
      </c>
      <c r="H14" s="10">
        <f t="shared" si="0"/>
        <v>7432</v>
      </c>
      <c r="I14" s="10">
        <f>H14-H16</f>
        <v>15057</v>
      </c>
      <c r="J14" s="10">
        <f t="shared" si="2"/>
        <v>171649.80000000002</v>
      </c>
      <c r="K14" s="10">
        <f t="shared" si="1"/>
        <v>-0.47303692878524023</v>
      </c>
      <c r="M14" s="10">
        <f t="shared" si="3"/>
        <v>-1.9709872032718342E-2</v>
      </c>
      <c r="N14" s="10">
        <f>K16-K14</f>
        <v>0.74073262105838444</v>
      </c>
      <c r="S14" s="29">
        <f>K16-N14</f>
        <v>-0.47303692878524017</v>
      </c>
      <c r="T14" s="10">
        <f t="shared" si="11"/>
        <v>-0.61173759157132268</v>
      </c>
      <c r="U14" s="10">
        <f t="shared" si="6"/>
        <v>-0.94607385757048035</v>
      </c>
      <c r="V14" s="28">
        <f>(D14*T14)/U14</f>
        <v>7855.623470122503</v>
      </c>
      <c r="W14" s="28">
        <v>15057</v>
      </c>
      <c r="X14" s="28">
        <f t="shared" si="7"/>
        <v>7528.5</v>
      </c>
      <c r="Y14" s="10">
        <v>178560</v>
      </c>
      <c r="Z14" s="10">
        <f t="shared" si="8"/>
        <v>1.7921146953405018E-3</v>
      </c>
      <c r="AA14" s="10">
        <f t="shared" si="9"/>
        <v>13.491935483870968</v>
      </c>
      <c r="AD14" s="10">
        <f t="shared" si="10"/>
        <v>1.1105387672953302</v>
      </c>
    </row>
    <row r="15" spans="1:32" s="3" customFormat="1">
      <c r="A15" s="3">
        <v>0</v>
      </c>
      <c r="B15" s="1" t="s">
        <v>8</v>
      </c>
      <c r="C15" s="3">
        <v>1</v>
      </c>
      <c r="D15" s="3">
        <v>10800</v>
      </c>
      <c r="F15" s="3">
        <v>17844</v>
      </c>
      <c r="H15" s="10">
        <f t="shared" si="0"/>
        <v>-7044</v>
      </c>
      <c r="I15" s="10"/>
      <c r="J15" s="10">
        <f t="shared" si="2"/>
        <v>0</v>
      </c>
      <c r="K15" s="3">
        <f t="shared" si="1"/>
        <v>0.25106059156792215</v>
      </c>
      <c r="L15" s="3">
        <f>AVERAGE(K15:K16)</f>
        <v>0.25937814192053321</v>
      </c>
      <c r="M15" s="3">
        <f t="shared" si="3"/>
        <v>1.0460857981996757E-2</v>
      </c>
      <c r="S15" s="31"/>
      <c r="V15" s="5"/>
      <c r="W15" s="5"/>
      <c r="X15" s="28"/>
      <c r="AA15" s="10"/>
      <c r="AB15" s="10"/>
      <c r="AC15" s="10"/>
      <c r="AD15" s="10"/>
    </row>
    <row r="16" spans="1:32" s="3" customFormat="1">
      <c r="A16" s="3">
        <v>0</v>
      </c>
      <c r="B16" s="1" t="s">
        <v>8</v>
      </c>
      <c r="C16" s="3">
        <v>2</v>
      </c>
      <c r="D16" s="3">
        <v>10768</v>
      </c>
      <c r="F16" s="3">
        <v>18393</v>
      </c>
      <c r="H16" s="10">
        <f t="shared" si="0"/>
        <v>-7625</v>
      </c>
      <c r="I16" s="10"/>
      <c r="J16" s="10">
        <f t="shared" si="2"/>
        <v>0</v>
      </c>
      <c r="K16" s="3">
        <f t="shared" si="1"/>
        <v>0.26769569227314427</v>
      </c>
      <c r="M16" s="3">
        <f t="shared" si="3"/>
        <v>1.1153987178047678E-2</v>
      </c>
      <c r="S16" s="31"/>
      <c r="V16" s="5"/>
      <c r="W16" s="5"/>
      <c r="X16" s="28"/>
      <c r="AA16" s="10"/>
      <c r="AB16" s="10"/>
      <c r="AC16" s="10"/>
      <c r="AD16" s="10"/>
    </row>
    <row r="17" spans="1:32" s="10" customFormat="1">
      <c r="A17" s="10">
        <v>0</v>
      </c>
      <c r="B17" s="11" t="s">
        <v>9</v>
      </c>
      <c r="C17" s="10">
        <v>1</v>
      </c>
      <c r="H17" s="10">
        <f t="shared" si="0"/>
        <v>0</v>
      </c>
      <c r="J17" s="10">
        <f t="shared" si="2"/>
        <v>0</v>
      </c>
      <c r="M17" s="10">
        <f t="shared" si="3"/>
        <v>0</v>
      </c>
      <c r="S17" s="29"/>
      <c r="V17" s="28"/>
      <c r="W17" s="28"/>
      <c r="X17" s="28"/>
    </row>
    <row r="18" spans="1:32" s="10" customFormat="1">
      <c r="A18" s="10">
        <v>0</v>
      </c>
      <c r="B18" s="11" t="s">
        <v>9</v>
      </c>
      <c r="C18" s="10">
        <v>2</v>
      </c>
      <c r="H18" s="10">
        <f t="shared" si="0"/>
        <v>0</v>
      </c>
      <c r="J18" s="10">
        <f t="shared" si="2"/>
        <v>0</v>
      </c>
      <c r="M18" s="10">
        <f t="shared" si="3"/>
        <v>0</v>
      </c>
      <c r="S18" s="29"/>
      <c r="V18" s="28"/>
      <c r="W18" s="28"/>
      <c r="X18" s="28"/>
    </row>
    <row r="19" spans="1:32" s="10" customFormat="1">
      <c r="A19" s="10">
        <v>0</v>
      </c>
      <c r="B19" s="11" t="s">
        <v>9</v>
      </c>
      <c r="C19" s="10">
        <v>3</v>
      </c>
      <c r="H19" s="10">
        <f t="shared" si="0"/>
        <v>0</v>
      </c>
      <c r="J19" s="10">
        <f t="shared" si="2"/>
        <v>0</v>
      </c>
      <c r="M19" s="10">
        <f t="shared" si="3"/>
        <v>0</v>
      </c>
      <c r="S19" s="29"/>
      <c r="V19" s="28"/>
      <c r="W19" s="28"/>
      <c r="X19" s="28"/>
    </row>
    <row r="20" spans="1:32" s="3" customFormat="1">
      <c r="A20" s="3">
        <v>0</v>
      </c>
      <c r="B20" s="1" t="s">
        <v>10</v>
      </c>
      <c r="C20" s="3">
        <v>1</v>
      </c>
      <c r="D20" s="3">
        <v>23033</v>
      </c>
      <c r="F20" s="3">
        <v>51609</v>
      </c>
      <c r="H20" s="10">
        <f t="shared" si="0"/>
        <v>-28576</v>
      </c>
      <c r="I20" s="10"/>
      <c r="J20" s="10">
        <f t="shared" si="2"/>
        <v>0</v>
      </c>
      <c r="K20" s="3">
        <f t="shared" ref="K20:K32" si="12">((LN(F20/D20))/(2-0))</f>
        <v>0.40338405283112172</v>
      </c>
      <c r="L20" s="3">
        <f>AVERAGE(K20:K22)</f>
        <v>0.34375435778650126</v>
      </c>
      <c r="M20" s="3">
        <f t="shared" si="3"/>
        <v>1.6807668867963404E-2</v>
      </c>
      <c r="S20" s="31"/>
      <c r="V20" s="5"/>
      <c r="W20" s="5"/>
      <c r="X20" s="28"/>
      <c r="AA20" s="10"/>
      <c r="AB20" s="10"/>
      <c r="AC20" s="10"/>
      <c r="AD20" s="10"/>
    </row>
    <row r="21" spans="1:32" s="3" customFormat="1">
      <c r="A21" s="3">
        <v>0</v>
      </c>
      <c r="B21" s="1" t="s">
        <v>10</v>
      </c>
      <c r="C21" s="3">
        <v>2</v>
      </c>
      <c r="D21" s="3">
        <v>27925</v>
      </c>
      <c r="F21" s="3">
        <v>52086</v>
      </c>
      <c r="H21" s="10">
        <f t="shared" si="0"/>
        <v>-24161</v>
      </c>
      <c r="I21" s="10"/>
      <c r="J21" s="10">
        <f t="shared" si="2"/>
        <v>0</v>
      </c>
      <c r="K21" s="3">
        <f t="shared" si="12"/>
        <v>0.31168692684123073</v>
      </c>
      <c r="M21" s="3">
        <f t="shared" si="3"/>
        <v>1.2986955285051281E-2</v>
      </c>
      <c r="S21" s="31"/>
      <c r="V21" s="5"/>
      <c r="W21" s="5"/>
      <c r="X21" s="28"/>
      <c r="AA21" s="10"/>
      <c r="AB21" s="10"/>
      <c r="AC21" s="10"/>
      <c r="AD21" s="10"/>
    </row>
    <row r="22" spans="1:32" s="3" customFormat="1">
      <c r="A22" s="3">
        <v>0</v>
      </c>
      <c r="B22" s="1" t="s">
        <v>10</v>
      </c>
      <c r="C22" s="3">
        <v>3</v>
      </c>
      <c r="D22" s="3">
        <v>26877</v>
      </c>
      <c r="F22" s="3">
        <v>50585</v>
      </c>
      <c r="H22" s="10">
        <f t="shared" si="0"/>
        <v>-23708</v>
      </c>
      <c r="I22" s="10"/>
      <c r="J22" s="10">
        <f t="shared" si="2"/>
        <v>0</v>
      </c>
      <c r="K22" s="3">
        <f t="shared" si="12"/>
        <v>0.31619209368715134</v>
      </c>
      <c r="M22" s="3">
        <f t="shared" si="3"/>
        <v>1.3174670570297973E-2</v>
      </c>
      <c r="S22" s="31"/>
      <c r="V22" s="5"/>
      <c r="W22" s="5"/>
      <c r="X22" s="28"/>
      <c r="AA22" s="10"/>
      <c r="AB22" s="10"/>
      <c r="AC22" s="10"/>
      <c r="AD22" s="10"/>
    </row>
    <row r="23" spans="1:32" s="10" customFormat="1">
      <c r="A23" s="10">
        <v>0</v>
      </c>
      <c r="B23" s="11" t="s">
        <v>11</v>
      </c>
      <c r="C23" s="10">
        <v>1</v>
      </c>
      <c r="D23" s="10">
        <v>60420</v>
      </c>
      <c r="E23" s="10">
        <f>AVERAGE(D23:D24)</f>
        <v>59347.5</v>
      </c>
      <c r="F23" s="10">
        <v>14096</v>
      </c>
      <c r="H23" s="10">
        <f t="shared" si="0"/>
        <v>46324</v>
      </c>
      <c r="I23" s="10">
        <f>H23-H25</f>
        <v>88944</v>
      </c>
      <c r="J23" s="10">
        <f t="shared" si="2"/>
        <v>1013961.6</v>
      </c>
      <c r="K23" s="10">
        <f t="shared" si="12"/>
        <v>-0.72771455338235114</v>
      </c>
      <c r="L23" s="10">
        <f>AVERAGE(K23:K24)</f>
        <v>-0.72936706513346827</v>
      </c>
      <c r="M23" s="10">
        <f t="shared" si="3"/>
        <v>-3.032143972426463E-2</v>
      </c>
      <c r="N23" s="10">
        <f>K25-K23</f>
        <v>1.0188034144681686</v>
      </c>
      <c r="O23" s="10">
        <f>AVERAGE(N23:N24)</f>
        <v>1.0413894120357718</v>
      </c>
      <c r="P23" s="10">
        <f>STDEV(N23:N24)</f>
        <v>3.1941424079830277E-2</v>
      </c>
      <c r="S23" s="29">
        <f>K25-N23</f>
        <v>-0.72771455338235125</v>
      </c>
      <c r="T23" s="10">
        <f t="shared" si="11"/>
        <v>-0.76669976828864617</v>
      </c>
      <c r="U23" s="10">
        <f t="shared" si="6"/>
        <v>-1.4554291067647025</v>
      </c>
      <c r="V23" s="28">
        <f>(D23*T23)/U23</f>
        <v>31828.413891607808</v>
      </c>
      <c r="W23" s="10">
        <v>88944</v>
      </c>
      <c r="X23" s="28">
        <f t="shared" si="7"/>
        <v>44472</v>
      </c>
      <c r="Y23" s="10">
        <v>319840</v>
      </c>
      <c r="Z23" s="10">
        <f t="shared" si="8"/>
        <v>1.0005002501250625E-3</v>
      </c>
      <c r="AA23" s="10">
        <f t="shared" si="9"/>
        <v>44.494247123561777</v>
      </c>
      <c r="AB23" s="10">
        <f>AVERAGE(AA23:AA24)</f>
        <v>49.956039645696976</v>
      </c>
      <c r="AC23" s="10">
        <f>STDEV(AA23:AA24)</f>
        <v>7.7241410596715312</v>
      </c>
      <c r="AD23" s="10">
        <f t="shared" si="10"/>
        <v>0.73641587427278676</v>
      </c>
      <c r="AE23" s="10">
        <f>AVERAGE(AD23:AD24)</f>
        <v>0.84369341262186892</v>
      </c>
      <c r="AF23" s="10">
        <f>STDEV(AD23:AD24)</f>
        <v>0.15171334967127068</v>
      </c>
    </row>
    <row r="24" spans="1:32" s="10" customFormat="1">
      <c r="A24" s="10">
        <v>0</v>
      </c>
      <c r="B24" s="11" t="s">
        <v>11</v>
      </c>
      <c r="C24" s="10">
        <v>2</v>
      </c>
      <c r="D24" s="10">
        <v>58275</v>
      </c>
      <c r="F24" s="10">
        <v>13506</v>
      </c>
      <c r="H24" s="10">
        <f t="shared" si="0"/>
        <v>44769</v>
      </c>
      <c r="I24" s="10">
        <f>H24-H26</f>
        <v>95097</v>
      </c>
      <c r="J24" s="10">
        <f t="shared" si="2"/>
        <v>1084105.8</v>
      </c>
      <c r="K24" s="10">
        <f t="shared" si="12"/>
        <v>-0.7310195768845853</v>
      </c>
      <c r="M24" s="10">
        <f t="shared" si="3"/>
        <v>-3.045914903685772E-2</v>
      </c>
      <c r="N24" s="10">
        <f>K26-K24</f>
        <v>1.0639754096033751</v>
      </c>
      <c r="S24" s="29">
        <f>K26-N24</f>
        <v>-0.7310195768845853</v>
      </c>
      <c r="T24" s="10">
        <f t="shared" si="11"/>
        <v>-0.76823680823680829</v>
      </c>
      <c r="U24" s="10">
        <f t="shared" si="6"/>
        <v>-1.4620391537691706</v>
      </c>
      <c r="V24" s="28">
        <f>(D24*T24)/U24</f>
        <v>30620.930967946028</v>
      </c>
      <c r="W24" s="10">
        <v>95097</v>
      </c>
      <c r="X24" s="28">
        <f t="shared" si="7"/>
        <v>47548.5</v>
      </c>
      <c r="Y24" s="10">
        <v>274560</v>
      </c>
      <c r="Z24" s="10">
        <f t="shared" si="8"/>
        <v>1.1655011655011655E-3</v>
      </c>
      <c r="AA24" s="10">
        <f t="shared" si="9"/>
        <v>55.417832167832167</v>
      </c>
      <c r="AD24" s="10">
        <f t="shared" si="10"/>
        <v>0.95097095097095097</v>
      </c>
    </row>
    <row r="25" spans="1:32" s="3" customFormat="1">
      <c r="A25" s="3">
        <v>0</v>
      </c>
      <c r="B25" s="1" t="s">
        <v>12</v>
      </c>
      <c r="C25" s="3">
        <v>1</v>
      </c>
      <c r="D25" s="3">
        <v>53954</v>
      </c>
      <c r="F25" s="3">
        <v>96574</v>
      </c>
      <c r="H25" s="10">
        <f t="shared" si="0"/>
        <v>-42620</v>
      </c>
      <c r="I25" s="10"/>
      <c r="J25" s="10">
        <f t="shared" si="2"/>
        <v>0</v>
      </c>
      <c r="K25" s="3">
        <f t="shared" si="12"/>
        <v>0.29108886108581739</v>
      </c>
      <c r="L25" s="3">
        <f>AVERAGE(K25:K26)</f>
        <v>0.31202234690230363</v>
      </c>
      <c r="M25" s="3">
        <f t="shared" si="3"/>
        <v>1.2128702545242391E-2</v>
      </c>
      <c r="S25" s="31"/>
      <c r="V25" s="5"/>
      <c r="W25" s="5"/>
      <c r="X25" s="28"/>
      <c r="AA25" s="10"/>
      <c r="AB25" s="10"/>
      <c r="AC25" s="10"/>
      <c r="AD25" s="10"/>
    </row>
    <row r="26" spans="1:32" s="3" customFormat="1">
      <c r="A26" s="3">
        <v>0</v>
      </c>
      <c r="B26" s="1" t="s">
        <v>12</v>
      </c>
      <c r="C26" s="3">
        <v>2</v>
      </c>
      <c r="D26" s="3">
        <v>53186</v>
      </c>
      <c r="F26" s="3">
        <v>103514</v>
      </c>
      <c r="H26" s="10">
        <f t="shared" si="0"/>
        <v>-50328</v>
      </c>
      <c r="I26" s="10"/>
      <c r="J26" s="10">
        <f t="shared" si="2"/>
        <v>0</v>
      </c>
      <c r="K26" s="3">
        <f t="shared" si="12"/>
        <v>0.33295583271878987</v>
      </c>
      <c r="M26" s="3">
        <f t="shared" si="3"/>
        <v>1.3873159696616245E-2</v>
      </c>
      <c r="S26" s="31"/>
      <c r="V26" s="5"/>
      <c r="W26" s="5"/>
      <c r="X26" s="28"/>
      <c r="AA26" s="10"/>
      <c r="AB26" s="10"/>
      <c r="AC26" s="10"/>
      <c r="AD26" s="10"/>
    </row>
    <row r="27" spans="1:32" s="10" customFormat="1">
      <c r="A27" s="10">
        <v>0</v>
      </c>
      <c r="B27" s="11" t="s">
        <v>13</v>
      </c>
      <c r="C27" s="10">
        <v>1</v>
      </c>
      <c r="D27" s="10">
        <v>81434</v>
      </c>
      <c r="E27" s="10">
        <f>AVERAGE(D27:D29)</f>
        <v>80044.333333333328</v>
      </c>
      <c r="F27" s="10">
        <v>22424</v>
      </c>
      <c r="H27" s="10">
        <f t="shared" si="0"/>
        <v>59010</v>
      </c>
      <c r="I27" s="10">
        <f>H27-H30</f>
        <v>109044</v>
      </c>
      <c r="J27" s="10">
        <f t="shared" si="2"/>
        <v>1243101.6000000001</v>
      </c>
      <c r="K27" s="10">
        <f t="shared" si="12"/>
        <v>-0.64483053117766931</v>
      </c>
      <c r="L27" s="10">
        <f>AVERAGE(K27:K29)</f>
        <v>-0.69569758309543805</v>
      </c>
      <c r="M27" s="10">
        <f t="shared" si="3"/>
        <v>-2.6867938799069555E-2</v>
      </c>
      <c r="N27" s="10">
        <f>K30-K27</f>
        <v>0.90389069511101339</v>
      </c>
      <c r="O27" s="10">
        <f>AVERAGE(N27:N29)</f>
        <v>0.93844244070344596</v>
      </c>
      <c r="P27" s="10">
        <f>STDEV(N27:N29)</f>
        <v>2.9985842452329277E-2</v>
      </c>
      <c r="S27" s="29">
        <f t="shared" si="4"/>
        <v>-0.64483053117766931</v>
      </c>
      <c r="T27" s="10">
        <f t="shared" si="11"/>
        <v>-0.72463590146621804</v>
      </c>
      <c r="U27" s="10">
        <f t="shared" si="6"/>
        <v>-1.2896610623553386</v>
      </c>
      <c r="V27" s="28">
        <f>(D27*T27)/U27</f>
        <v>45756.208140632421</v>
      </c>
      <c r="W27" s="28">
        <v>109044</v>
      </c>
      <c r="X27" s="28">
        <f t="shared" si="7"/>
        <v>54522</v>
      </c>
      <c r="Y27" s="10">
        <v>255840</v>
      </c>
      <c r="Z27" s="10">
        <f t="shared" si="8"/>
        <v>1.2507817385866166E-3</v>
      </c>
      <c r="AA27" s="10">
        <f t="shared" si="9"/>
        <v>68.195121951219505</v>
      </c>
      <c r="AB27" s="10">
        <f>AVERAGE(AA27:AA29)</f>
        <v>69.247417697782041</v>
      </c>
      <c r="AC27" s="10">
        <f>STDEV(AA27:AA29)</f>
        <v>2.245087389423245</v>
      </c>
      <c r="AD27" s="10">
        <f t="shared" si="10"/>
        <v>0.83742812524522325</v>
      </c>
      <c r="AE27" s="10">
        <f>AVERAGE(AD27:AD29)</f>
        <v>0.86530218212848353</v>
      </c>
      <c r="AF27" s="10">
        <f>STDEV(AD27:AD29)</f>
        <v>2.4338372989651118E-2</v>
      </c>
    </row>
    <row r="28" spans="1:32" s="10" customFormat="1">
      <c r="A28" s="10">
        <v>0</v>
      </c>
      <c r="B28" s="11" t="s">
        <v>13</v>
      </c>
      <c r="C28" s="10">
        <v>2</v>
      </c>
      <c r="D28" s="10">
        <v>81403</v>
      </c>
      <c r="F28" s="10">
        <v>19258</v>
      </c>
      <c r="H28" s="10">
        <f t="shared" si="0"/>
        <v>62145</v>
      </c>
      <c r="I28" s="10">
        <f>H28-H31</f>
        <v>105296</v>
      </c>
      <c r="J28" s="10">
        <f t="shared" si="2"/>
        <v>1200374.4000000001</v>
      </c>
      <c r="K28" s="10">
        <f t="shared" si="12"/>
        <v>-0.72074278427406369</v>
      </c>
      <c r="M28" s="10">
        <f t="shared" si="3"/>
        <v>-3.0030949344752655E-2</v>
      </c>
      <c r="N28" s="10">
        <f>K31-K28</f>
        <v>0.95377321582530883</v>
      </c>
      <c r="S28" s="29">
        <f t="shared" si="4"/>
        <v>-0.72074278427406369</v>
      </c>
      <c r="T28" s="10">
        <f t="shared" si="11"/>
        <v>-0.76342395243418548</v>
      </c>
      <c r="U28" s="10">
        <f t="shared" si="6"/>
        <v>-1.4414855685481274</v>
      </c>
      <c r="V28" s="28">
        <f>(D28*T28)/U28</f>
        <v>43111.773961492247</v>
      </c>
      <c r="W28" s="28">
        <v>105296</v>
      </c>
      <c r="X28" s="28">
        <f t="shared" si="7"/>
        <v>52648</v>
      </c>
      <c r="Y28" s="10">
        <v>234560</v>
      </c>
      <c r="Z28" s="10">
        <f t="shared" si="8"/>
        <v>1.364256480218281E-3</v>
      </c>
      <c r="AA28" s="10">
        <f t="shared" si="9"/>
        <v>71.825375170532055</v>
      </c>
      <c r="AD28" s="10">
        <f t="shared" si="10"/>
        <v>0.88234309755822338</v>
      </c>
    </row>
    <row r="29" spans="1:32" s="10" customFormat="1">
      <c r="A29" s="10">
        <v>0</v>
      </c>
      <c r="B29" s="11" t="s">
        <v>13</v>
      </c>
      <c r="C29" s="10">
        <v>3</v>
      </c>
      <c r="D29" s="10">
        <v>77296</v>
      </c>
      <c r="F29" s="10">
        <v>18258</v>
      </c>
      <c r="H29" s="10">
        <f t="shared" si="0"/>
        <v>59038</v>
      </c>
      <c r="I29" s="10">
        <f>H29-H32</f>
        <v>104901</v>
      </c>
      <c r="J29" s="10">
        <f t="shared" si="2"/>
        <v>1195871.4000000001</v>
      </c>
      <c r="K29" s="10">
        <f t="shared" si="12"/>
        <v>-0.72151943383458095</v>
      </c>
      <c r="M29" s="10">
        <f t="shared" si="3"/>
        <v>-3.0063309743107541E-2</v>
      </c>
      <c r="N29" s="10">
        <f>K32-K29</f>
        <v>0.95766341117401566</v>
      </c>
      <c r="S29" s="29">
        <f t="shared" si="4"/>
        <v>-0.72151943383458095</v>
      </c>
      <c r="T29" s="10">
        <f t="shared" si="11"/>
        <v>-0.76379114055061059</v>
      </c>
      <c r="U29" s="10">
        <f t="shared" si="6"/>
        <v>-1.4430388676691619</v>
      </c>
      <c r="V29" s="28">
        <f>(D29*T29)/U29</f>
        <v>40912.27292814356</v>
      </c>
      <c r="W29" s="28">
        <v>104901</v>
      </c>
      <c r="X29" s="28">
        <f t="shared" si="7"/>
        <v>52450.5</v>
      </c>
      <c r="Y29" s="10">
        <v>247840</v>
      </c>
      <c r="Z29" s="10">
        <f t="shared" si="8"/>
        <v>1.2911555842479018E-3</v>
      </c>
      <c r="AA29" s="10">
        <f t="shared" si="9"/>
        <v>67.721755971594575</v>
      </c>
      <c r="AD29" s="10">
        <f t="shared" si="10"/>
        <v>0.87613532358200397</v>
      </c>
    </row>
    <row r="30" spans="1:32" s="3" customFormat="1">
      <c r="A30" s="3">
        <v>0</v>
      </c>
      <c r="B30" s="1" t="s">
        <v>14</v>
      </c>
      <c r="C30" s="3">
        <v>1</v>
      </c>
      <c r="D30" s="3">
        <v>73702</v>
      </c>
      <c r="F30" s="3">
        <v>123736</v>
      </c>
      <c r="H30" s="10">
        <f t="shared" si="0"/>
        <v>-50034</v>
      </c>
      <c r="I30" s="10"/>
      <c r="J30" s="10">
        <f t="shared" si="2"/>
        <v>0</v>
      </c>
      <c r="K30" s="3">
        <f t="shared" si="12"/>
        <v>0.25906016393334408</v>
      </c>
      <c r="L30" s="3">
        <f>AVERAGE(K30:K32)</f>
        <v>0.24274485760800799</v>
      </c>
      <c r="M30" s="3">
        <f t="shared" si="3"/>
        <v>1.079417349722267E-2</v>
      </c>
      <c r="S30" s="31"/>
      <c r="X30" s="28"/>
      <c r="AA30" s="10"/>
      <c r="AB30" s="10"/>
      <c r="AC30" s="10"/>
      <c r="AD30" s="10"/>
    </row>
    <row r="31" spans="1:32" s="3" customFormat="1">
      <c r="A31" s="3">
        <v>0</v>
      </c>
      <c r="B31" s="1" t="s">
        <v>14</v>
      </c>
      <c r="C31" s="3">
        <v>2</v>
      </c>
      <c r="D31" s="3">
        <v>72681</v>
      </c>
      <c r="F31" s="3">
        <v>115832</v>
      </c>
      <c r="H31" s="10">
        <f t="shared" si="0"/>
        <v>-43151</v>
      </c>
      <c r="I31" s="10"/>
      <c r="J31" s="10">
        <f t="shared" si="2"/>
        <v>0</v>
      </c>
      <c r="K31" s="3">
        <f t="shared" si="12"/>
        <v>0.23303043155124517</v>
      </c>
      <c r="M31" s="3">
        <f t="shared" si="3"/>
        <v>9.7096013146352154E-3</v>
      </c>
      <c r="S31" s="31"/>
      <c r="X31" s="28"/>
      <c r="AA31" s="10"/>
      <c r="AB31" s="10"/>
      <c r="AC31" s="10"/>
      <c r="AD31" s="10"/>
    </row>
    <row r="32" spans="1:32" s="3" customFormat="1">
      <c r="A32" s="3">
        <v>0</v>
      </c>
      <c r="B32" s="1" t="s">
        <v>14</v>
      </c>
      <c r="C32" s="3">
        <v>3</v>
      </c>
      <c r="D32" s="3">
        <v>75975</v>
      </c>
      <c r="F32" s="3">
        <v>121838</v>
      </c>
      <c r="H32" s="10">
        <f t="shared" si="0"/>
        <v>-45863</v>
      </c>
      <c r="I32" s="10"/>
      <c r="J32" s="10">
        <f t="shared" si="2"/>
        <v>0</v>
      </c>
      <c r="K32" s="3">
        <f t="shared" si="12"/>
        <v>0.23614397733943474</v>
      </c>
      <c r="M32" s="3">
        <f t="shared" si="3"/>
        <v>9.8393323891431145E-3</v>
      </c>
      <c r="S32" s="31"/>
      <c r="X32" s="28"/>
      <c r="AA32" s="10"/>
      <c r="AB32" s="10"/>
      <c r="AC32" s="10"/>
      <c r="AD32" s="10"/>
    </row>
    <row r="36" spans="22:22">
      <c r="V36" s="13"/>
    </row>
    <row r="37" spans="22:22">
      <c r="V37" s="13"/>
    </row>
    <row r="38" spans="22:22">
      <c r="V38" s="13"/>
    </row>
    <row r="39" spans="22:22">
      <c r="V39" s="13"/>
    </row>
    <row r="40" spans="22:22">
      <c r="V40" s="13"/>
    </row>
    <row r="41" spans="22:22">
      <c r="V41" s="13"/>
    </row>
    <row r="42" spans="22:22">
      <c r="V42" s="13"/>
    </row>
    <row r="43" spans="22:22">
      <c r="V43" s="13"/>
    </row>
    <row r="44" spans="22:22">
      <c r="V44" s="13"/>
    </row>
    <row r="45" spans="22:22">
      <c r="V45" s="13"/>
    </row>
    <row r="46" spans="22:22">
      <c r="V46" s="13"/>
    </row>
    <row r="47" spans="22:22">
      <c r="V47" s="13"/>
    </row>
    <row r="48" spans="22:22">
      <c r="V48" s="13"/>
    </row>
    <row r="49" spans="22:22">
      <c r="V49" s="13"/>
    </row>
    <row r="50" spans="22:22">
      <c r="V50" s="13"/>
    </row>
    <row r="51" spans="22:22">
      <c r="V51" s="13"/>
    </row>
    <row r="52" spans="22:22">
      <c r="V52" s="13"/>
    </row>
    <row r="53" spans="22:22">
      <c r="V53" s="13"/>
    </row>
    <row r="54" spans="22:22">
      <c r="V54" s="13"/>
    </row>
    <row r="55" spans="22:22">
      <c r="V55" s="13"/>
    </row>
    <row r="56" spans="22:22">
      <c r="V56" s="13"/>
    </row>
    <row r="57" spans="22:22">
      <c r="V57" s="13"/>
    </row>
    <row r="58" spans="22:22">
      <c r="V58" s="13"/>
    </row>
    <row r="59" spans="22:22">
      <c r="V59" s="13"/>
    </row>
    <row r="60" spans="22:22">
      <c r="V60" s="13"/>
    </row>
    <row r="61" spans="22:22">
      <c r="V61" s="13"/>
    </row>
  </sheetData>
  <phoneticPr fontId="4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I21" sqref="I21"/>
    </sheetView>
  </sheetViews>
  <sheetFormatPr baseColWidth="10" defaultRowHeight="15" x14ac:dyDescent="0"/>
  <cols>
    <col min="2" max="2" width="12.6640625" customWidth="1"/>
    <col min="3" max="3" width="5.1640625" customWidth="1"/>
    <col min="8" max="22" width="10.83203125" style="12"/>
  </cols>
  <sheetData>
    <row r="1" spans="1:23" s="12" customFormat="1">
      <c r="A1" s="12" t="s">
        <v>19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s="12" customFormat="1">
      <c r="D2" s="12" t="s">
        <v>23</v>
      </c>
      <c r="F2" s="12" t="s">
        <v>24</v>
      </c>
      <c r="H2" s="12" t="s">
        <v>39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3" s="12" customFormat="1">
      <c r="A3" s="12" t="s">
        <v>1</v>
      </c>
      <c r="B3" s="12" t="s">
        <v>2</v>
      </c>
      <c r="C3" s="12" t="s">
        <v>18</v>
      </c>
      <c r="D3" s="12" t="s">
        <v>20</v>
      </c>
      <c r="F3" s="12" t="s">
        <v>20</v>
      </c>
      <c r="H3" s="12" t="s">
        <v>40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3" s="10" customFormat="1">
      <c r="A4" s="3">
        <v>0</v>
      </c>
      <c r="B4" s="4" t="s">
        <v>4</v>
      </c>
      <c r="C4" s="3">
        <v>1</v>
      </c>
      <c r="D4" s="3">
        <v>181</v>
      </c>
      <c r="E4" s="3">
        <f>AVERAGE(D4:D6)</f>
        <v>184.33333333333334</v>
      </c>
      <c r="F4" s="3">
        <v>129</v>
      </c>
      <c r="G4" s="3">
        <f>AVERAGE(F4:F6)</f>
        <v>157</v>
      </c>
      <c r="H4" s="3">
        <f>G4-E4</f>
        <v>-27.333333333333343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32"/>
    </row>
    <row r="5" spans="1:23" s="10" customFormat="1">
      <c r="A5" s="3">
        <v>0</v>
      </c>
      <c r="B5" s="4" t="s">
        <v>4</v>
      </c>
      <c r="C5" s="3">
        <v>2</v>
      </c>
      <c r="D5" s="3">
        <v>191</v>
      </c>
      <c r="E5" s="3"/>
      <c r="F5" s="3">
        <v>171</v>
      </c>
      <c r="G5" s="3"/>
      <c r="H5" s="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32"/>
    </row>
    <row r="6" spans="1:23" s="10" customFormat="1">
      <c r="A6" s="3">
        <v>0</v>
      </c>
      <c r="B6" s="4" t="s">
        <v>4</v>
      </c>
      <c r="C6" s="3">
        <v>3</v>
      </c>
      <c r="D6" s="3">
        <v>181</v>
      </c>
      <c r="E6" s="3"/>
      <c r="F6" s="3">
        <v>171</v>
      </c>
      <c r="G6" s="3"/>
      <c r="H6" s="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32"/>
    </row>
    <row r="7" spans="1:23" s="10" customFormat="1">
      <c r="A7" s="10">
        <v>0</v>
      </c>
      <c r="B7" s="11" t="s">
        <v>5</v>
      </c>
      <c r="C7" s="10">
        <v>1</v>
      </c>
      <c r="D7" s="10">
        <v>126.777</v>
      </c>
      <c r="E7" s="10">
        <f>AVERAGE(D7:D9)</f>
        <v>127.223</v>
      </c>
      <c r="F7" s="10">
        <v>188.74700000000001</v>
      </c>
      <c r="G7" s="10">
        <f>AVERAGE(F7:F9)</f>
        <v>182.69299999999998</v>
      </c>
      <c r="H7" s="10">
        <f>G7-E7</f>
        <v>55.469999999999985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32"/>
    </row>
    <row r="8" spans="1:23" s="10" customFormat="1">
      <c r="A8" s="10">
        <v>0</v>
      </c>
      <c r="B8" s="11" t="s">
        <v>5</v>
      </c>
      <c r="C8" s="10">
        <v>2</v>
      </c>
      <c r="D8" s="10">
        <v>131.851</v>
      </c>
      <c r="F8" s="10">
        <v>162.80500000000001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32"/>
    </row>
    <row r="9" spans="1:23" s="10" customFormat="1">
      <c r="A9" s="10">
        <v>0</v>
      </c>
      <c r="B9" s="11" t="s">
        <v>5</v>
      </c>
      <c r="C9" s="10">
        <v>3</v>
      </c>
      <c r="D9" s="10">
        <v>123.041</v>
      </c>
      <c r="F9" s="10">
        <v>196.52699999999999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32"/>
    </row>
    <row r="10" spans="1:23" s="10" customFormat="1">
      <c r="A10" s="3">
        <v>0</v>
      </c>
      <c r="B10" s="1" t="s">
        <v>6</v>
      </c>
      <c r="C10" s="3">
        <v>1</v>
      </c>
      <c r="D10" s="3">
        <v>107.691</v>
      </c>
      <c r="E10" s="3">
        <f>AVERAGE(D10:D12)</f>
        <v>117.93599999999999</v>
      </c>
      <c r="F10" s="3">
        <v>116.96599999999999</v>
      </c>
      <c r="G10" s="3">
        <f>AVERAGE(F10:F12)</f>
        <v>117.72466666666666</v>
      </c>
      <c r="H10" s="3">
        <f>G10-E10</f>
        <v>-0.21133333333332871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32"/>
    </row>
    <row r="11" spans="1:23" s="10" customFormat="1">
      <c r="A11" s="3">
        <v>0</v>
      </c>
      <c r="B11" s="1" t="s">
        <v>6</v>
      </c>
      <c r="C11" s="3">
        <v>2</v>
      </c>
      <c r="D11" s="3">
        <v>125.32899999999999</v>
      </c>
      <c r="E11" s="3"/>
      <c r="F11" s="3">
        <v>117.658</v>
      </c>
      <c r="G11" s="3"/>
      <c r="H11" s="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32"/>
    </row>
    <row r="12" spans="1:23" s="10" customFormat="1">
      <c r="A12" s="3">
        <v>0</v>
      </c>
      <c r="B12" s="1" t="s">
        <v>6</v>
      </c>
      <c r="C12" s="3">
        <v>3</v>
      </c>
      <c r="D12" s="3">
        <v>120.788</v>
      </c>
      <c r="E12" s="3"/>
      <c r="F12" s="3">
        <v>118.55</v>
      </c>
      <c r="G12" s="3"/>
      <c r="H12" s="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32"/>
    </row>
    <row r="13" spans="1:23" s="10" customFormat="1">
      <c r="A13" s="10">
        <v>0</v>
      </c>
      <c r="B13" s="11" t="s">
        <v>7</v>
      </c>
      <c r="C13" s="10">
        <v>1</v>
      </c>
      <c r="D13" s="10">
        <v>127.327</v>
      </c>
      <c r="E13" s="10">
        <f>AVERAGE(D13:D14)</f>
        <v>124.23650000000001</v>
      </c>
      <c r="F13" s="10">
        <v>145.733</v>
      </c>
      <c r="G13" s="10">
        <f>AVERAGE(F13:F14)</f>
        <v>156.245</v>
      </c>
      <c r="H13" s="10">
        <f>G13-E13</f>
        <v>32.008499999999998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32"/>
    </row>
    <row r="14" spans="1:23" s="10" customFormat="1">
      <c r="A14" s="10">
        <v>0</v>
      </c>
      <c r="B14" s="11" t="s">
        <v>7</v>
      </c>
      <c r="C14" s="10">
        <v>2</v>
      </c>
      <c r="D14" s="10">
        <v>121.146</v>
      </c>
      <c r="F14" s="10">
        <v>166.75700000000001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32"/>
    </row>
    <row r="15" spans="1:23" s="10" customFormat="1">
      <c r="A15" s="3">
        <v>0</v>
      </c>
      <c r="B15" s="1" t="s">
        <v>8</v>
      </c>
      <c r="C15" s="3">
        <v>1</v>
      </c>
      <c r="D15" s="3">
        <v>129.87100000000001</v>
      </c>
      <c r="E15" s="3">
        <f>AVERAGE(D15:D16)</f>
        <v>126.42700000000001</v>
      </c>
      <c r="F15" s="3">
        <v>117.764</v>
      </c>
      <c r="G15" s="3">
        <f>AVERAGE(F15:F16)</f>
        <v>115.35299999999999</v>
      </c>
      <c r="H15" s="3">
        <f>G15-E15</f>
        <v>-11.074000000000012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32"/>
    </row>
    <row r="16" spans="1:23" s="10" customFormat="1">
      <c r="A16" s="3">
        <v>0</v>
      </c>
      <c r="B16" s="1" t="s">
        <v>8</v>
      </c>
      <c r="C16" s="3">
        <v>2</v>
      </c>
      <c r="D16" s="3">
        <v>122.983</v>
      </c>
      <c r="E16" s="3"/>
      <c r="F16" s="3">
        <v>112.94199999999999</v>
      </c>
      <c r="G16" s="3"/>
      <c r="H16" s="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32"/>
    </row>
    <row r="17" spans="1:23" s="10" customFormat="1">
      <c r="A17" s="10">
        <v>0</v>
      </c>
      <c r="B17" s="11" t="s">
        <v>9</v>
      </c>
      <c r="C17" s="10">
        <v>1</v>
      </c>
      <c r="F17" s="28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32"/>
    </row>
    <row r="18" spans="1:23" s="10" customFormat="1">
      <c r="A18" s="10">
        <v>0</v>
      </c>
      <c r="B18" s="11" t="s">
        <v>9</v>
      </c>
      <c r="C18" s="10">
        <v>2</v>
      </c>
      <c r="F18" s="28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32"/>
    </row>
    <row r="19" spans="1:23" s="10" customFormat="1">
      <c r="A19" s="10">
        <v>0</v>
      </c>
      <c r="B19" s="11" t="s">
        <v>9</v>
      </c>
      <c r="C19" s="10">
        <v>3</v>
      </c>
      <c r="F19" s="28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32"/>
    </row>
    <row r="20" spans="1:23" s="10" customFormat="1">
      <c r="A20" s="3">
        <v>0</v>
      </c>
      <c r="B20" s="1" t="s">
        <v>10</v>
      </c>
      <c r="C20" s="3">
        <v>1</v>
      </c>
      <c r="D20" s="3"/>
      <c r="E20" s="3"/>
      <c r="F20" s="5"/>
      <c r="G20" s="3"/>
      <c r="H20" s="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32"/>
    </row>
    <row r="21" spans="1:23" s="10" customFormat="1">
      <c r="A21" s="3">
        <v>0</v>
      </c>
      <c r="B21" s="1" t="s">
        <v>10</v>
      </c>
      <c r="C21" s="3">
        <v>2</v>
      </c>
      <c r="D21" s="3"/>
      <c r="E21" s="3"/>
      <c r="F21" s="5"/>
      <c r="G21" s="3"/>
      <c r="H21" s="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32"/>
    </row>
    <row r="22" spans="1:23" s="10" customFormat="1">
      <c r="A22" s="3">
        <v>0</v>
      </c>
      <c r="B22" s="1" t="s">
        <v>10</v>
      </c>
      <c r="C22" s="3">
        <v>3</v>
      </c>
      <c r="D22" s="3"/>
      <c r="E22" s="3"/>
      <c r="F22" s="5"/>
      <c r="G22" s="3"/>
      <c r="H22" s="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32"/>
    </row>
    <row r="23" spans="1:23" s="10" customFormat="1">
      <c r="A23" s="10">
        <v>0</v>
      </c>
      <c r="B23" s="11" t="s">
        <v>11</v>
      </c>
      <c r="C23" s="10">
        <v>1</v>
      </c>
      <c r="D23" s="10">
        <v>109.38500000000001</v>
      </c>
      <c r="E23" s="10">
        <f>AVERAGE(D23:D24)</f>
        <v>117.6875</v>
      </c>
      <c r="F23" s="10">
        <v>143.20500000000001</v>
      </c>
      <c r="G23" s="10">
        <f>AVERAGE(F23:F24)</f>
        <v>139.44</v>
      </c>
      <c r="H23" s="10">
        <f>G23-E23</f>
        <v>21.752499999999998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32"/>
    </row>
    <row r="24" spans="1:23" s="10" customFormat="1">
      <c r="A24" s="10">
        <v>0</v>
      </c>
      <c r="B24" s="11" t="s">
        <v>11</v>
      </c>
      <c r="C24" s="10">
        <v>2</v>
      </c>
      <c r="D24" s="10">
        <v>125.99</v>
      </c>
      <c r="F24" s="10">
        <v>135.67500000000001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32"/>
    </row>
    <row r="25" spans="1:23" s="10" customFormat="1">
      <c r="A25" s="3">
        <v>0</v>
      </c>
      <c r="B25" s="1" t="s">
        <v>12</v>
      </c>
      <c r="C25" s="3">
        <v>1</v>
      </c>
      <c r="D25" s="3">
        <v>128.36600000000001</v>
      </c>
      <c r="E25" s="3">
        <f>AVERAGE(D25:D26)</f>
        <v>125.33150000000001</v>
      </c>
      <c r="F25" s="3">
        <v>119.996</v>
      </c>
      <c r="G25" s="3">
        <f>AVERAGE(F25:F26)</f>
        <v>116.226</v>
      </c>
      <c r="H25" s="3">
        <f>G25-E25</f>
        <v>-9.1055000000000064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32"/>
    </row>
    <row r="26" spans="1:23" s="10" customFormat="1">
      <c r="A26" s="3">
        <v>0</v>
      </c>
      <c r="B26" s="1" t="s">
        <v>12</v>
      </c>
      <c r="C26" s="3">
        <v>2</v>
      </c>
      <c r="D26" s="3">
        <v>122.297</v>
      </c>
      <c r="E26" s="3"/>
      <c r="F26" s="3">
        <v>112.456</v>
      </c>
      <c r="G26" s="3"/>
      <c r="H26" s="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32"/>
    </row>
    <row r="27" spans="1:23" s="10" customFormat="1">
      <c r="A27" s="10">
        <v>0</v>
      </c>
      <c r="B27" s="11" t="s">
        <v>13</v>
      </c>
      <c r="C27" s="10">
        <v>1</v>
      </c>
      <c r="D27" s="10">
        <v>125.396</v>
      </c>
      <c r="E27" s="10">
        <f>AVERAGE(D27:D29)</f>
        <v>116.08633333333334</v>
      </c>
      <c r="F27" s="10">
        <v>139.19800000000001</v>
      </c>
      <c r="G27" s="10">
        <f>AVERAGE(F27:F29)</f>
        <v>131.86800000000002</v>
      </c>
      <c r="H27" s="10">
        <f>G27-E27</f>
        <v>15.78166666666668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32"/>
    </row>
    <row r="28" spans="1:23" s="10" customFormat="1">
      <c r="A28" s="10">
        <v>0</v>
      </c>
      <c r="B28" s="11" t="s">
        <v>13</v>
      </c>
      <c r="C28" s="10">
        <v>2</v>
      </c>
      <c r="D28" s="10">
        <v>107.675</v>
      </c>
      <c r="F28" s="10">
        <v>126.71299999999999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32"/>
    </row>
    <row r="29" spans="1:23" s="10" customFormat="1">
      <c r="A29" s="10">
        <v>0</v>
      </c>
      <c r="B29" s="11" t="s">
        <v>13</v>
      </c>
      <c r="C29" s="10">
        <v>3</v>
      </c>
      <c r="D29" s="10">
        <v>115.188</v>
      </c>
      <c r="F29" s="10">
        <v>129.69300000000001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32"/>
    </row>
    <row r="30" spans="1:23" s="10" customFormat="1">
      <c r="A30" s="3">
        <v>0</v>
      </c>
      <c r="B30" s="1" t="s">
        <v>14</v>
      </c>
      <c r="C30" s="3">
        <v>1</v>
      </c>
      <c r="D30" s="3">
        <v>121.48099999999999</v>
      </c>
      <c r="E30" s="3">
        <f>AVERAGE(D30:D32)</f>
        <v>121.99966666666667</v>
      </c>
      <c r="F30" s="3">
        <v>112.342</v>
      </c>
      <c r="G30" s="3">
        <f>AVERAGE(F30:F32)</f>
        <v>108.61579999999999</v>
      </c>
      <c r="H30" s="3">
        <f>G30-E30</f>
        <v>-13.383866666666677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32"/>
    </row>
    <row r="31" spans="1:23" s="10" customFormat="1">
      <c r="A31" s="3">
        <v>0</v>
      </c>
      <c r="B31" s="1" t="s">
        <v>14</v>
      </c>
      <c r="C31" s="3">
        <v>2</v>
      </c>
      <c r="D31" s="3">
        <v>126.42400000000001</v>
      </c>
      <c r="E31" s="3"/>
      <c r="F31" s="3">
        <v>116.761</v>
      </c>
      <c r="G31" s="3"/>
      <c r="H31" s="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2"/>
    </row>
    <row r="32" spans="1:23" s="10" customFormat="1">
      <c r="A32" s="3">
        <v>0</v>
      </c>
      <c r="B32" s="1" t="s">
        <v>14</v>
      </c>
      <c r="C32" s="3">
        <v>3</v>
      </c>
      <c r="D32" s="3">
        <v>118.09399999999999</v>
      </c>
      <c r="E32" s="3"/>
      <c r="F32" s="3">
        <v>96.744399999999999</v>
      </c>
      <c r="G32" s="3"/>
      <c r="H32" s="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2"/>
    </row>
    <row r="33" s="12" customFormat="1"/>
    <row r="34" s="12" customFormat="1"/>
    <row r="35" s="12" customFormat="1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J19" sqref="J19"/>
    </sheetView>
  </sheetViews>
  <sheetFormatPr baseColWidth="10" defaultRowHeight="15" x14ac:dyDescent="0"/>
  <sheetData>
    <row r="1" spans="1:8">
      <c r="A1" t="s">
        <v>45</v>
      </c>
      <c r="H1" s="12"/>
    </row>
    <row r="2" spans="1:8">
      <c r="D2" t="s">
        <v>23</v>
      </c>
      <c r="F2" t="s">
        <v>24</v>
      </c>
      <c r="H2" s="12" t="s">
        <v>39</v>
      </c>
    </row>
    <row r="3" spans="1:8">
      <c r="A3" t="s">
        <v>1</v>
      </c>
      <c r="B3" t="s">
        <v>2</v>
      </c>
      <c r="C3" t="s">
        <v>18</v>
      </c>
      <c r="D3" t="s">
        <v>46</v>
      </c>
      <c r="F3" t="s">
        <v>46</v>
      </c>
      <c r="H3" s="12" t="s">
        <v>40</v>
      </c>
    </row>
    <row r="4" spans="1:8">
      <c r="A4" s="3">
        <v>0</v>
      </c>
      <c r="B4" s="4" t="s">
        <v>4</v>
      </c>
      <c r="C4" s="3">
        <v>1</v>
      </c>
      <c r="D4" s="3"/>
      <c r="E4" s="3"/>
      <c r="F4" s="3"/>
      <c r="G4" s="3"/>
      <c r="H4" s="3"/>
    </row>
    <row r="5" spans="1:8">
      <c r="A5" s="3">
        <v>0</v>
      </c>
      <c r="B5" s="4" t="s">
        <v>4</v>
      </c>
      <c r="C5" s="3">
        <v>2</v>
      </c>
      <c r="D5" s="3"/>
      <c r="E5" s="3"/>
      <c r="F5" s="3"/>
      <c r="G5" s="3"/>
      <c r="H5" s="3"/>
    </row>
    <row r="6" spans="1:8">
      <c r="A6" s="3">
        <v>0</v>
      </c>
      <c r="B6" s="4" t="s">
        <v>4</v>
      </c>
      <c r="C6" s="3">
        <v>3</v>
      </c>
      <c r="D6" s="3"/>
      <c r="E6" s="3"/>
      <c r="F6" s="3"/>
      <c r="G6" s="3"/>
      <c r="H6" s="3"/>
    </row>
    <row r="7" spans="1:8">
      <c r="A7" s="10">
        <v>0</v>
      </c>
      <c r="B7" s="11" t="s">
        <v>5</v>
      </c>
      <c r="C7" s="10">
        <v>1</v>
      </c>
      <c r="D7" s="2">
        <v>72.654200000000003</v>
      </c>
      <c r="E7" s="10">
        <f>AVERAGE(D7:D9)</f>
        <v>73.382633333333331</v>
      </c>
      <c r="F7" s="2">
        <v>63.977800000000002</v>
      </c>
      <c r="G7" s="10">
        <f>AVERAGE(F7:F9)</f>
        <v>61.777000000000008</v>
      </c>
      <c r="H7" s="10">
        <f>G7-E7</f>
        <v>-11.605633333333323</v>
      </c>
    </row>
    <row r="8" spans="1:8">
      <c r="A8" s="10">
        <v>0</v>
      </c>
      <c r="B8" s="11" t="s">
        <v>5</v>
      </c>
      <c r="C8" s="10">
        <v>2</v>
      </c>
      <c r="D8" s="2">
        <v>74.477000000000004</v>
      </c>
      <c r="E8" s="10"/>
      <c r="F8" s="2">
        <v>60.68</v>
      </c>
      <c r="G8" s="10"/>
      <c r="H8" s="10"/>
    </row>
    <row r="9" spans="1:8">
      <c r="A9" s="10">
        <v>0</v>
      </c>
      <c r="B9" s="11" t="s">
        <v>5</v>
      </c>
      <c r="C9" s="10">
        <v>3</v>
      </c>
      <c r="D9" s="2">
        <v>73.0167</v>
      </c>
      <c r="E9" s="10"/>
      <c r="F9" s="2">
        <v>60.673200000000001</v>
      </c>
      <c r="G9" s="10"/>
      <c r="H9" s="10"/>
    </row>
    <row r="10" spans="1:8">
      <c r="A10" s="3">
        <v>0</v>
      </c>
      <c r="B10" s="1" t="s">
        <v>6</v>
      </c>
      <c r="C10" s="3">
        <v>1</v>
      </c>
      <c r="D10" s="3">
        <v>78.522499999999994</v>
      </c>
      <c r="E10" s="3">
        <f>AVERAGE(D10:D12)</f>
        <v>77.996233333333336</v>
      </c>
      <c r="F10" s="3">
        <v>73.081100000000006</v>
      </c>
      <c r="G10" s="3">
        <f>AVERAGE(F10:F12)</f>
        <v>72.812599999999989</v>
      </c>
      <c r="H10" s="3">
        <f>G10-E10</f>
        <v>-5.1836333333333471</v>
      </c>
    </row>
    <row r="11" spans="1:8">
      <c r="A11" s="3">
        <v>0</v>
      </c>
      <c r="B11" s="1" t="s">
        <v>6</v>
      </c>
      <c r="C11" s="3">
        <v>2</v>
      </c>
      <c r="D11" s="3">
        <v>79.549400000000006</v>
      </c>
      <c r="E11" s="3"/>
      <c r="F11" s="3">
        <v>72.822000000000003</v>
      </c>
      <c r="G11" s="3"/>
      <c r="H11" s="3"/>
    </row>
    <row r="12" spans="1:8">
      <c r="A12" s="3">
        <v>0</v>
      </c>
      <c r="B12" s="1" t="s">
        <v>6</v>
      </c>
      <c r="C12" s="3">
        <v>3</v>
      </c>
      <c r="D12" s="3">
        <v>75.916799999999995</v>
      </c>
      <c r="E12" s="3"/>
      <c r="F12" s="3">
        <v>72.534700000000001</v>
      </c>
      <c r="G12" s="3"/>
      <c r="H12" s="3"/>
    </row>
    <row r="13" spans="1:8">
      <c r="A13" s="10">
        <v>0</v>
      </c>
      <c r="B13" s="11" t="s">
        <v>7</v>
      </c>
      <c r="C13" s="10">
        <v>1</v>
      </c>
      <c r="D13" s="2">
        <v>76.747399999999999</v>
      </c>
      <c r="E13" s="10">
        <f>AVERAGE(D13:D14)</f>
        <v>75.383800000000008</v>
      </c>
      <c r="F13" s="2">
        <v>64.976600000000005</v>
      </c>
      <c r="G13" s="10">
        <f>AVERAGE(F13:F14)</f>
        <v>65.707099999999997</v>
      </c>
      <c r="H13" s="10">
        <f>G13-E13</f>
        <v>-9.676700000000011</v>
      </c>
    </row>
    <row r="14" spans="1:8">
      <c r="A14" s="10">
        <v>0</v>
      </c>
      <c r="B14" s="11" t="s">
        <v>7</v>
      </c>
      <c r="C14" s="10">
        <v>2</v>
      </c>
      <c r="D14" s="2">
        <v>74.020200000000003</v>
      </c>
      <c r="E14" s="10"/>
      <c r="F14" s="2">
        <v>66.437600000000003</v>
      </c>
      <c r="G14" s="10"/>
      <c r="H14" s="10"/>
    </row>
    <row r="15" spans="1:8">
      <c r="A15" s="3">
        <v>0</v>
      </c>
      <c r="B15" s="1" t="s">
        <v>8</v>
      </c>
      <c r="C15" s="3">
        <v>1</v>
      </c>
      <c r="D15" s="3">
        <v>78.320999999999998</v>
      </c>
      <c r="E15" s="3">
        <f>AVERAGE(D15:D16)</f>
        <v>77.461250000000007</v>
      </c>
      <c r="F15" s="3">
        <v>72.505799999999994</v>
      </c>
      <c r="G15" s="3">
        <f>AVERAGE(F15:F16)</f>
        <v>71.455099999999987</v>
      </c>
      <c r="H15" s="3">
        <f>G15-E15</f>
        <v>-6.0061500000000194</v>
      </c>
    </row>
    <row r="16" spans="1:8">
      <c r="A16" s="3">
        <v>0</v>
      </c>
      <c r="B16" s="1" t="s">
        <v>8</v>
      </c>
      <c r="C16" s="3">
        <v>2</v>
      </c>
      <c r="D16" s="3">
        <v>76.601500000000001</v>
      </c>
      <c r="E16" s="3"/>
      <c r="F16" s="3">
        <v>70.404399999999995</v>
      </c>
      <c r="G16" s="3"/>
      <c r="H16" s="3"/>
    </row>
    <row r="17" spans="1:8">
      <c r="A17" s="10">
        <v>0</v>
      </c>
      <c r="B17" s="11" t="s">
        <v>9</v>
      </c>
      <c r="C17" s="10">
        <v>1</v>
      </c>
      <c r="D17" s="10"/>
      <c r="E17" s="10"/>
      <c r="F17" s="28"/>
      <c r="G17" s="10"/>
      <c r="H17" s="10"/>
    </row>
    <row r="18" spans="1:8">
      <c r="A18" s="10">
        <v>0</v>
      </c>
      <c r="B18" s="11" t="s">
        <v>9</v>
      </c>
      <c r="C18" s="10">
        <v>2</v>
      </c>
      <c r="D18" s="10"/>
      <c r="E18" s="10"/>
      <c r="F18" s="28"/>
      <c r="G18" s="10"/>
      <c r="H18" s="10"/>
    </row>
    <row r="19" spans="1:8">
      <c r="A19" s="10">
        <v>0</v>
      </c>
      <c r="B19" s="11" t="s">
        <v>9</v>
      </c>
      <c r="C19" s="10">
        <v>3</v>
      </c>
      <c r="D19" s="10"/>
      <c r="E19" s="10"/>
      <c r="F19" s="28"/>
      <c r="G19" s="10"/>
      <c r="H19" s="10"/>
    </row>
    <row r="20" spans="1:8">
      <c r="A20" s="3">
        <v>0</v>
      </c>
      <c r="B20" s="1" t="s">
        <v>10</v>
      </c>
      <c r="C20" s="3">
        <v>1</v>
      </c>
      <c r="D20" s="3"/>
      <c r="E20" s="3"/>
      <c r="F20" s="5"/>
      <c r="G20" s="3"/>
      <c r="H20" s="3"/>
    </row>
    <row r="21" spans="1:8">
      <c r="A21" s="3">
        <v>0</v>
      </c>
      <c r="B21" s="1" t="s">
        <v>10</v>
      </c>
      <c r="C21" s="3">
        <v>2</v>
      </c>
      <c r="D21" s="3"/>
      <c r="E21" s="3"/>
      <c r="F21" s="5"/>
      <c r="G21" s="3"/>
      <c r="H21" s="3"/>
    </row>
    <row r="22" spans="1:8">
      <c r="A22" s="3">
        <v>0</v>
      </c>
      <c r="B22" s="1" t="s">
        <v>10</v>
      </c>
      <c r="C22" s="3">
        <v>3</v>
      </c>
      <c r="D22" s="3"/>
      <c r="E22" s="3"/>
      <c r="F22" s="5"/>
      <c r="G22" s="3"/>
      <c r="H22" s="3"/>
    </row>
    <row r="23" spans="1:8">
      <c r="A23" s="10">
        <v>0</v>
      </c>
      <c r="B23" s="11" t="s">
        <v>11</v>
      </c>
      <c r="C23" s="10">
        <v>1</v>
      </c>
      <c r="D23" s="2">
        <v>76.171999999999997</v>
      </c>
      <c r="E23" s="10">
        <f>AVERAGE(D23:D24)</f>
        <v>76.398849999999996</v>
      </c>
      <c r="F23" s="2">
        <v>66.058400000000006</v>
      </c>
      <c r="G23" s="10">
        <f>AVERAGE(F23:F24)</f>
        <v>65.070700000000002</v>
      </c>
      <c r="H23" s="10">
        <f>G23-E23</f>
        <v>-11.328149999999994</v>
      </c>
    </row>
    <row r="24" spans="1:8">
      <c r="A24" s="10">
        <v>0</v>
      </c>
      <c r="B24" s="11" t="s">
        <v>11</v>
      </c>
      <c r="C24" s="10">
        <v>2</v>
      </c>
      <c r="D24" s="2">
        <v>76.625699999999995</v>
      </c>
      <c r="E24" s="10"/>
      <c r="F24" s="2">
        <v>64.082999999999998</v>
      </c>
      <c r="G24" s="10"/>
      <c r="H24" s="10"/>
    </row>
    <row r="25" spans="1:8">
      <c r="A25" s="3">
        <v>0</v>
      </c>
      <c r="B25" s="1" t="s">
        <v>12</v>
      </c>
      <c r="C25" s="3">
        <v>1</v>
      </c>
      <c r="D25" s="3">
        <v>76.779799999999994</v>
      </c>
      <c r="E25" s="3">
        <f>AVERAGE(D25:D26)</f>
        <v>76.970349999999996</v>
      </c>
      <c r="F25" s="3">
        <v>69.153999999999996</v>
      </c>
      <c r="G25" s="3">
        <f>AVERAGE(F25:F26)</f>
        <v>69.188999999999993</v>
      </c>
      <c r="H25" s="3">
        <f>G25-E25</f>
        <v>-7.7813500000000033</v>
      </c>
    </row>
    <row r="26" spans="1:8">
      <c r="A26" s="3">
        <v>0</v>
      </c>
      <c r="B26" s="1" t="s">
        <v>12</v>
      </c>
      <c r="C26" s="3">
        <v>2</v>
      </c>
      <c r="D26" s="3">
        <v>77.160899999999998</v>
      </c>
      <c r="E26" s="3"/>
      <c r="F26" s="3">
        <v>69.224000000000004</v>
      </c>
      <c r="G26" s="3"/>
      <c r="H26" s="3"/>
    </row>
    <row r="27" spans="1:8">
      <c r="A27" s="10">
        <v>0</v>
      </c>
      <c r="B27" s="11" t="s">
        <v>13</v>
      </c>
      <c r="C27" s="10">
        <v>1</v>
      </c>
      <c r="D27" s="2">
        <v>75.257599999999996</v>
      </c>
      <c r="E27" s="10">
        <f>AVERAGE(D27:D29)</f>
        <v>75.08423333333333</v>
      </c>
      <c r="F27" s="2">
        <v>66.351600000000005</v>
      </c>
      <c r="G27" s="10">
        <f>AVERAGE(F27:F29)</f>
        <v>64.988133333333337</v>
      </c>
      <c r="H27" s="10">
        <f>G27-E27</f>
        <v>-10.096099999999993</v>
      </c>
    </row>
    <row r="28" spans="1:8">
      <c r="A28" s="10">
        <v>0</v>
      </c>
      <c r="B28" s="11" t="s">
        <v>13</v>
      </c>
      <c r="C28" s="10">
        <v>2</v>
      </c>
      <c r="D28" s="2">
        <v>75.134100000000004</v>
      </c>
      <c r="E28" s="10"/>
      <c r="F28" s="2">
        <v>64.434100000000001</v>
      </c>
      <c r="G28" s="10"/>
      <c r="H28" s="10"/>
    </row>
    <row r="29" spans="1:8">
      <c r="A29" s="10">
        <v>0</v>
      </c>
      <c r="B29" s="11" t="s">
        <v>13</v>
      </c>
      <c r="C29" s="10">
        <v>3</v>
      </c>
      <c r="D29" s="2">
        <v>74.861000000000004</v>
      </c>
      <c r="E29" s="10"/>
      <c r="F29" s="2">
        <v>64.178700000000006</v>
      </c>
      <c r="G29" s="10"/>
      <c r="H29" s="10"/>
    </row>
    <row r="30" spans="1:8">
      <c r="A30" s="3">
        <v>0</v>
      </c>
      <c r="B30" s="1" t="s">
        <v>14</v>
      </c>
      <c r="C30" s="3">
        <v>1</v>
      </c>
      <c r="D30" s="3">
        <v>74.938199999999995</v>
      </c>
      <c r="E30" s="3">
        <f>AVERAGE(D30:D32)</f>
        <v>75.504733333333334</v>
      </c>
      <c r="F30" s="3">
        <v>68.190100000000001</v>
      </c>
      <c r="G30" s="3">
        <f>AVERAGE(F30:F32)</f>
        <v>68.793266666666668</v>
      </c>
      <c r="H30" s="3">
        <f>G30-E30</f>
        <v>-6.7114666666666665</v>
      </c>
    </row>
    <row r="31" spans="1:8">
      <c r="A31" s="3">
        <v>0</v>
      </c>
      <c r="B31" s="1" t="s">
        <v>14</v>
      </c>
      <c r="C31" s="3">
        <v>2</v>
      </c>
      <c r="D31" s="3">
        <v>76.059600000000003</v>
      </c>
      <c r="E31" s="3"/>
      <c r="F31" s="3">
        <v>68.906400000000005</v>
      </c>
      <c r="G31" s="3"/>
      <c r="H31" s="3"/>
    </row>
    <row r="32" spans="1:8">
      <c r="A32" s="3">
        <v>0</v>
      </c>
      <c r="B32" s="1" t="s">
        <v>14</v>
      </c>
      <c r="C32" s="3">
        <v>3</v>
      </c>
      <c r="D32" s="3">
        <v>75.516400000000004</v>
      </c>
      <c r="E32" s="3"/>
      <c r="F32" s="3">
        <v>69.283299999999997</v>
      </c>
      <c r="G32" s="3"/>
      <c r="H32" s="3"/>
    </row>
    <row r="33" spans="8:8">
      <c r="H33" s="12"/>
    </row>
    <row r="34" spans="8:8">
      <c r="H34" s="12"/>
    </row>
    <row r="35" spans="8:8">
      <c r="H35" s="1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32"/>
  <sheetViews>
    <sheetView workbookViewId="0">
      <selection activeCell="K1" sqref="K1:K1048576"/>
    </sheetView>
  </sheetViews>
  <sheetFormatPr baseColWidth="10" defaultRowHeight="15" x14ac:dyDescent="0"/>
  <cols>
    <col min="2" max="2" width="13.5" customWidth="1"/>
  </cols>
  <sheetData>
    <row r="1" spans="1:24">
      <c r="D1" s="60" t="s">
        <v>23</v>
      </c>
      <c r="E1" s="60"/>
      <c r="F1" s="26"/>
      <c r="G1" s="26"/>
      <c r="H1" s="60" t="s">
        <v>24</v>
      </c>
      <c r="I1" s="60"/>
      <c r="J1" s="59"/>
    </row>
    <row r="2" spans="1:24">
      <c r="D2" t="s">
        <v>16</v>
      </c>
      <c r="E2" t="s">
        <v>16</v>
      </c>
    </row>
    <row r="3" spans="1:24">
      <c r="A3" s="17" t="s">
        <v>27</v>
      </c>
      <c r="B3" t="s">
        <v>2</v>
      </c>
      <c r="C3" t="s">
        <v>18</v>
      </c>
      <c r="D3" t="s">
        <v>3</v>
      </c>
      <c r="E3" t="s">
        <v>17</v>
      </c>
      <c r="H3" t="s">
        <v>3</v>
      </c>
      <c r="I3" t="s">
        <v>17</v>
      </c>
      <c r="R3" t="s">
        <v>28</v>
      </c>
      <c r="S3" t="s">
        <v>17</v>
      </c>
      <c r="T3" t="s">
        <v>29</v>
      </c>
      <c r="X3">
        <v>0</v>
      </c>
    </row>
    <row r="4" spans="1:24">
      <c r="A4" s="14">
        <v>11</v>
      </c>
      <c r="B4" s="4" t="s">
        <v>4</v>
      </c>
      <c r="C4" s="3">
        <v>1</v>
      </c>
      <c r="D4" s="3">
        <v>233</v>
      </c>
      <c r="E4" s="5">
        <f>AVERAGE(D4:D6)</f>
        <v>316.33333333333331</v>
      </c>
      <c r="F4" s="5">
        <f>D4*320</f>
        <v>74560</v>
      </c>
      <c r="G4" s="27"/>
      <c r="H4" s="3">
        <v>150</v>
      </c>
      <c r="I4" s="3">
        <f>AVERAGE(H4:H6)</f>
        <v>190.16666666666666</v>
      </c>
      <c r="J4" s="3">
        <f>H4-D4</f>
        <v>-83</v>
      </c>
      <c r="K4" s="3">
        <f>H4*320</f>
        <v>48000</v>
      </c>
      <c r="L4" s="3">
        <f>K4/2</f>
        <v>24000</v>
      </c>
      <c r="M4" s="5">
        <f>AVERAGE(K4,F4)</f>
        <v>61280</v>
      </c>
      <c r="N4" s="5">
        <f>M4-F4</f>
        <v>-13280</v>
      </c>
      <c r="O4" s="5">
        <f>N4*470</f>
        <v>-6241600</v>
      </c>
      <c r="P4" s="5">
        <f>O4/2</f>
        <v>-3120800</v>
      </c>
      <c r="Q4" s="5">
        <f>AVERAGE(P4:P6)</f>
        <v>-4743866.666666667</v>
      </c>
      <c r="R4" s="3">
        <f>(((LN(H4/D4)))/(2-0))</f>
        <v>-0.2202015797347224</v>
      </c>
      <c r="S4" s="3">
        <f>AVERAGE(R4:R6)</f>
        <v>-0.25046543686469547</v>
      </c>
      <c r="T4" s="3">
        <f>STDEV(R4:R6)</f>
        <v>0.11623883066380949</v>
      </c>
      <c r="X4" s="10">
        <v>4359</v>
      </c>
    </row>
    <row r="5" spans="1:24">
      <c r="A5" s="15">
        <v>12</v>
      </c>
      <c r="B5" s="4" t="s">
        <v>4</v>
      </c>
      <c r="C5" s="3">
        <v>2</v>
      </c>
      <c r="D5" s="3">
        <v>316</v>
      </c>
      <c r="E5" s="3"/>
      <c r="F5" s="5">
        <f t="shared" ref="F5:F32" si="0">D5*320</f>
        <v>101120</v>
      </c>
      <c r="G5" s="27"/>
      <c r="H5" s="3">
        <v>233</v>
      </c>
      <c r="I5" s="3"/>
      <c r="J5" s="3">
        <f t="shared" ref="J5:J32" si="1">H5-D5</f>
        <v>-83</v>
      </c>
      <c r="K5" s="3">
        <f>H5*320</f>
        <v>74560</v>
      </c>
      <c r="L5" s="3">
        <f t="shared" ref="L5:L32" si="2">K5/2</f>
        <v>37280</v>
      </c>
      <c r="M5" s="5">
        <f>AVERAGE(K5,F5)</f>
        <v>87840</v>
      </c>
      <c r="N5" s="5">
        <f>M5-F5</f>
        <v>-13280</v>
      </c>
      <c r="O5" s="5">
        <f t="shared" ref="O5:O32" si="3">N5*470</f>
        <v>-6241600</v>
      </c>
      <c r="P5" s="5">
        <f t="shared" ref="P5:P32" si="4">O5/2</f>
        <v>-3120800</v>
      </c>
      <c r="Q5" s="5"/>
      <c r="R5" s="3">
        <f>(((LN(H5/D5)))/(2-0))</f>
        <v>-0.15235188001060573</v>
      </c>
      <c r="S5" s="3"/>
      <c r="T5" s="3"/>
      <c r="X5" s="10">
        <v>12363</v>
      </c>
    </row>
    <row r="6" spans="1:24">
      <c r="A6" s="15">
        <v>13</v>
      </c>
      <c r="B6" s="4" t="s">
        <v>4</v>
      </c>
      <c r="C6" s="3">
        <v>3</v>
      </c>
      <c r="D6" s="3">
        <v>400</v>
      </c>
      <c r="E6" s="3"/>
      <c r="F6" s="5">
        <f t="shared" si="0"/>
        <v>128000</v>
      </c>
      <c r="G6" s="27"/>
      <c r="H6" s="3">
        <v>187.5</v>
      </c>
      <c r="I6" s="3"/>
      <c r="J6" s="3">
        <f t="shared" si="1"/>
        <v>-212.5</v>
      </c>
      <c r="K6" s="3">
        <f>H6*320</f>
        <v>60000</v>
      </c>
      <c r="L6" s="3">
        <f t="shared" si="2"/>
        <v>30000</v>
      </c>
      <c r="M6" s="5">
        <f>AVERAGE(K6,F6)</f>
        <v>94000</v>
      </c>
      <c r="N6" s="5">
        <f>M6-F6</f>
        <v>-34000</v>
      </c>
      <c r="O6" s="5">
        <f t="shared" si="3"/>
        <v>-15980000</v>
      </c>
      <c r="P6" s="5">
        <f t="shared" si="4"/>
        <v>-7990000</v>
      </c>
      <c r="Q6" s="5"/>
      <c r="R6" s="3">
        <f>(((LN(H6/D6)))/(2-0))</f>
        <v>-0.37884285084875824</v>
      </c>
      <c r="S6" s="3"/>
      <c r="T6" s="3"/>
      <c r="X6" s="10">
        <v>59347.5</v>
      </c>
    </row>
    <row r="7" spans="1:24">
      <c r="A7" s="16">
        <v>14</v>
      </c>
      <c r="B7" s="11" t="s">
        <v>5</v>
      </c>
      <c r="C7" s="10">
        <v>1</v>
      </c>
      <c r="D7" s="10">
        <v>283</v>
      </c>
      <c r="E7" s="10"/>
      <c r="F7" s="5">
        <f t="shared" si="0"/>
        <v>90560</v>
      </c>
      <c r="G7" s="27"/>
      <c r="H7" s="2">
        <v>383</v>
      </c>
      <c r="I7" s="2">
        <f>AVERAGE(H7:H9)</f>
        <v>344</v>
      </c>
      <c r="J7" s="3">
        <f t="shared" si="1"/>
        <v>100</v>
      </c>
      <c r="K7" s="3">
        <f>H7*320</f>
        <v>122560</v>
      </c>
      <c r="L7" s="3">
        <f t="shared" si="2"/>
        <v>61280</v>
      </c>
      <c r="M7" s="5">
        <f>AVERAGE(K7,F7)</f>
        <v>106560</v>
      </c>
      <c r="N7" s="5">
        <f>M7-F7</f>
        <v>16000</v>
      </c>
      <c r="O7" s="5">
        <f t="shared" si="3"/>
        <v>7520000</v>
      </c>
      <c r="P7" s="5">
        <f t="shared" si="4"/>
        <v>3760000</v>
      </c>
      <c r="Q7" s="5">
        <f>P7-$P$4</f>
        <v>6880800</v>
      </c>
      <c r="R7" s="2">
        <f>(((LN(H7/$D$7))/(2-0)))</f>
        <v>0.1512940457687042</v>
      </c>
      <c r="S7" s="2">
        <f>AVERAGE(R7:R9)</f>
        <v>9.3295754549256191E-2</v>
      </c>
      <c r="T7" s="2">
        <f>STDEV(R7:R9)</f>
        <v>8.1589860028100647E-2</v>
      </c>
      <c r="U7">
        <f>S7-S4</f>
        <v>0.34376119141395167</v>
      </c>
      <c r="X7" s="10">
        <v>80044.333333333328</v>
      </c>
    </row>
    <row r="8" spans="1:24">
      <c r="A8" s="16">
        <v>15</v>
      </c>
      <c r="B8" s="11" t="s">
        <v>5</v>
      </c>
      <c r="C8" s="10">
        <v>2</v>
      </c>
      <c r="D8" s="10"/>
      <c r="E8" s="10"/>
      <c r="F8" s="5">
        <f t="shared" si="0"/>
        <v>0</v>
      </c>
      <c r="G8" s="27"/>
      <c r="H8" s="2">
        <v>366</v>
      </c>
      <c r="I8" s="2"/>
      <c r="J8" s="3">
        <f>H8-D7</f>
        <v>83</v>
      </c>
      <c r="K8" s="3">
        <f>H8*320</f>
        <v>117120</v>
      </c>
      <c r="L8" s="3">
        <f t="shared" si="2"/>
        <v>58560</v>
      </c>
      <c r="M8" s="5">
        <f>AVERAGE(K8,F7)</f>
        <v>103840</v>
      </c>
      <c r="N8" s="5">
        <f>M8-F7</f>
        <v>13280</v>
      </c>
      <c r="O8" s="5">
        <f t="shared" si="3"/>
        <v>6241600</v>
      </c>
      <c r="P8" s="5">
        <f t="shared" si="4"/>
        <v>3120800</v>
      </c>
      <c r="Q8" s="5">
        <f t="shared" ref="Q8:Q29" si="5">P8-$P$4</f>
        <v>6241600</v>
      </c>
      <c r="R8" s="2">
        <f t="shared" ref="R8:R9" si="6">(((LN(H8/$D$7))/(2-0)))</f>
        <v>0.12859321787906436</v>
      </c>
      <c r="S8" s="2"/>
      <c r="T8" s="2"/>
    </row>
    <row r="9" spans="1:24">
      <c r="A9" s="16">
        <v>16</v>
      </c>
      <c r="B9" s="11" t="s">
        <v>5</v>
      </c>
      <c r="C9" s="10">
        <v>3</v>
      </c>
      <c r="D9" s="10"/>
      <c r="E9" s="10"/>
      <c r="F9" s="5">
        <f t="shared" si="0"/>
        <v>0</v>
      </c>
      <c r="G9" s="27"/>
      <c r="H9" s="2">
        <v>283</v>
      </c>
      <c r="I9" s="2"/>
      <c r="J9" s="3">
        <f>H9-D7</f>
        <v>0</v>
      </c>
      <c r="K9" s="3">
        <f>H9*320</f>
        <v>90560</v>
      </c>
      <c r="L9" s="3">
        <f t="shared" si="2"/>
        <v>45280</v>
      </c>
      <c r="M9" s="5">
        <f>AVERAGE(K9,F7)</f>
        <v>90560</v>
      </c>
      <c r="N9" s="5">
        <f>M9-F7</f>
        <v>0</v>
      </c>
      <c r="O9" s="5">
        <f t="shared" si="3"/>
        <v>0</v>
      </c>
      <c r="P9" s="5">
        <f t="shared" si="4"/>
        <v>0</v>
      </c>
      <c r="Q9" s="5"/>
      <c r="R9" s="2">
        <f t="shared" si="6"/>
        <v>0</v>
      </c>
      <c r="S9" s="2"/>
      <c r="T9" s="2"/>
    </row>
    <row r="10" spans="1:24">
      <c r="A10" s="15">
        <v>17</v>
      </c>
      <c r="B10" s="1" t="s">
        <v>6</v>
      </c>
      <c r="C10" s="3">
        <v>1</v>
      </c>
      <c r="D10" s="3"/>
      <c r="E10" s="3"/>
      <c r="F10" s="5">
        <f t="shared" si="0"/>
        <v>0</v>
      </c>
      <c r="G10" s="27"/>
      <c r="H10" s="3"/>
      <c r="I10" s="3"/>
      <c r="J10" s="3">
        <f t="shared" si="1"/>
        <v>0</v>
      </c>
      <c r="K10" s="3">
        <f>H10*320</f>
        <v>0</v>
      </c>
      <c r="L10" s="3">
        <f t="shared" si="2"/>
        <v>0</v>
      </c>
      <c r="M10" s="3"/>
      <c r="N10" s="5">
        <f>M10-F10</f>
        <v>0</v>
      </c>
      <c r="O10" s="5">
        <f t="shared" si="3"/>
        <v>0</v>
      </c>
      <c r="P10" s="5">
        <f t="shared" si="4"/>
        <v>0</v>
      </c>
      <c r="Q10" s="5"/>
      <c r="R10" s="3"/>
      <c r="S10" s="3"/>
      <c r="T10" s="3"/>
    </row>
    <row r="11" spans="1:24">
      <c r="A11" s="15">
        <v>18</v>
      </c>
      <c r="B11" s="1" t="s">
        <v>6</v>
      </c>
      <c r="C11" s="3">
        <v>2</v>
      </c>
      <c r="D11" s="3"/>
      <c r="E11" s="3"/>
      <c r="F11" s="5">
        <f t="shared" si="0"/>
        <v>0</v>
      </c>
      <c r="G11" s="27"/>
      <c r="H11" s="3"/>
      <c r="I11" s="3"/>
      <c r="J11" s="3">
        <f t="shared" si="1"/>
        <v>0</v>
      </c>
      <c r="K11" s="3">
        <f>H11*320</f>
        <v>0</v>
      </c>
      <c r="L11" s="3">
        <f t="shared" si="2"/>
        <v>0</v>
      </c>
      <c r="M11" s="3"/>
      <c r="N11" s="5">
        <f>M11-F11</f>
        <v>0</v>
      </c>
      <c r="O11" s="5">
        <f t="shared" si="3"/>
        <v>0</v>
      </c>
      <c r="P11" s="5">
        <f t="shared" si="4"/>
        <v>0</v>
      </c>
      <c r="Q11" s="5"/>
      <c r="R11" s="3"/>
      <c r="S11" s="3"/>
      <c r="T11" s="3"/>
    </row>
    <row r="12" spans="1:24">
      <c r="A12" s="15">
        <v>19</v>
      </c>
      <c r="B12" s="1" t="s">
        <v>6</v>
      </c>
      <c r="C12" s="3">
        <v>3</v>
      </c>
      <c r="D12" s="3"/>
      <c r="E12" s="3"/>
      <c r="F12" s="5">
        <f t="shared" si="0"/>
        <v>0</v>
      </c>
      <c r="G12" s="27"/>
      <c r="H12" s="3"/>
      <c r="I12" s="3"/>
      <c r="J12" s="3">
        <f t="shared" si="1"/>
        <v>0</v>
      </c>
      <c r="K12" s="3">
        <f>H12*320</f>
        <v>0</v>
      </c>
      <c r="L12" s="3">
        <f t="shared" si="2"/>
        <v>0</v>
      </c>
      <c r="M12" s="3"/>
      <c r="N12" s="5">
        <f>M12-F12</f>
        <v>0</v>
      </c>
      <c r="O12" s="5">
        <f t="shared" si="3"/>
        <v>0</v>
      </c>
      <c r="P12" s="5">
        <f t="shared" si="4"/>
        <v>0</v>
      </c>
      <c r="Q12" s="5"/>
      <c r="R12" s="3"/>
      <c r="S12" s="3"/>
      <c r="T12" s="3"/>
    </row>
    <row r="13" spans="1:24">
      <c r="A13" s="16">
        <v>20</v>
      </c>
      <c r="B13" s="11" t="s">
        <v>7</v>
      </c>
      <c r="C13" s="10">
        <v>1</v>
      </c>
      <c r="D13" s="10">
        <v>350</v>
      </c>
      <c r="E13" s="10"/>
      <c r="F13" s="5">
        <f t="shared" si="0"/>
        <v>112000</v>
      </c>
      <c r="G13" s="27"/>
      <c r="H13" s="2">
        <v>528</v>
      </c>
      <c r="I13" s="2">
        <f>AVERAGE(H13:H14)</f>
        <v>647</v>
      </c>
      <c r="J13" s="3">
        <f t="shared" si="1"/>
        <v>178</v>
      </c>
      <c r="K13" s="3">
        <f>H13*320</f>
        <v>168960</v>
      </c>
      <c r="L13" s="3">
        <f t="shared" si="2"/>
        <v>84480</v>
      </c>
      <c r="M13" s="5">
        <f>AVERAGE(K13,F13)</f>
        <v>140480</v>
      </c>
      <c r="N13" s="5">
        <f>M13-F13</f>
        <v>28480</v>
      </c>
      <c r="O13" s="5">
        <f t="shared" si="3"/>
        <v>13385600</v>
      </c>
      <c r="P13" s="5">
        <f t="shared" si="4"/>
        <v>6692800</v>
      </c>
      <c r="Q13" s="5">
        <f t="shared" si="5"/>
        <v>9813600</v>
      </c>
      <c r="R13" s="2">
        <f>(((LN(H13/$D$13))/(2-0)))</f>
        <v>0.20558156461140109</v>
      </c>
      <c r="S13" s="2">
        <f>AVERAGE(R13:R14)</f>
        <v>0.29860303611998351</v>
      </c>
      <c r="T13" s="2">
        <f>STDEV(R13:R14)</f>
        <v>0.13155222659933988</v>
      </c>
      <c r="U13">
        <f>S13-S4</f>
        <v>0.54906847298467898</v>
      </c>
    </row>
    <row r="14" spans="1:24">
      <c r="A14" s="16">
        <v>21</v>
      </c>
      <c r="B14" s="11" t="s">
        <v>7</v>
      </c>
      <c r="C14" s="10">
        <v>2</v>
      </c>
      <c r="D14" s="10"/>
      <c r="E14" s="10"/>
      <c r="F14" s="5">
        <f t="shared" si="0"/>
        <v>0</v>
      </c>
      <c r="G14" s="27"/>
      <c r="H14" s="2">
        <v>766</v>
      </c>
      <c r="I14" s="2"/>
      <c r="J14" s="3">
        <f>H14-D13</f>
        <v>416</v>
      </c>
      <c r="K14" s="3">
        <f>H14*320</f>
        <v>245120</v>
      </c>
      <c r="L14" s="3">
        <f t="shared" si="2"/>
        <v>122560</v>
      </c>
      <c r="M14" s="5">
        <f>AVERAGE(K14,F13)</f>
        <v>178560</v>
      </c>
      <c r="N14" s="5">
        <f>M14-F13</f>
        <v>66560</v>
      </c>
      <c r="O14" s="5">
        <f t="shared" si="3"/>
        <v>31283200</v>
      </c>
      <c r="P14" s="5">
        <f t="shared" si="4"/>
        <v>15641600</v>
      </c>
      <c r="Q14" s="5">
        <f t="shared" si="5"/>
        <v>18762400</v>
      </c>
      <c r="R14" s="2">
        <f>(((LN(H14/$D$13))/(2-0)))</f>
        <v>0.39162450762856599</v>
      </c>
      <c r="S14" s="2"/>
      <c r="T14" s="2"/>
    </row>
    <row r="15" spans="1:24">
      <c r="A15" s="15">
        <v>22</v>
      </c>
      <c r="B15" s="1" t="s">
        <v>8</v>
      </c>
      <c r="C15" s="3">
        <v>1</v>
      </c>
      <c r="D15" s="3"/>
      <c r="E15" s="3"/>
      <c r="F15" s="5">
        <f t="shared" si="0"/>
        <v>0</v>
      </c>
      <c r="G15" s="27"/>
      <c r="H15" s="3"/>
      <c r="I15" s="3"/>
      <c r="J15" s="3">
        <f t="shared" si="1"/>
        <v>0</v>
      </c>
      <c r="K15" s="3">
        <f>H15*320</f>
        <v>0</v>
      </c>
      <c r="L15" s="3">
        <f t="shared" si="2"/>
        <v>0</v>
      </c>
      <c r="M15" s="3"/>
      <c r="N15" s="5">
        <f>M15-F15</f>
        <v>0</v>
      </c>
      <c r="O15" s="5">
        <f t="shared" si="3"/>
        <v>0</v>
      </c>
      <c r="P15" s="5">
        <f t="shared" si="4"/>
        <v>0</v>
      </c>
      <c r="Q15" s="5"/>
      <c r="R15" s="3"/>
      <c r="S15" s="3"/>
      <c r="T15" s="3"/>
    </row>
    <row r="16" spans="1:24">
      <c r="A16" s="15">
        <v>23</v>
      </c>
      <c r="B16" s="1" t="s">
        <v>8</v>
      </c>
      <c r="C16" s="3">
        <v>2</v>
      </c>
      <c r="D16" s="3"/>
      <c r="E16" s="3"/>
      <c r="F16" s="5">
        <f t="shared" si="0"/>
        <v>0</v>
      </c>
      <c r="G16" s="27"/>
      <c r="H16" s="3"/>
      <c r="I16" s="3"/>
      <c r="J16" s="3">
        <f t="shared" si="1"/>
        <v>0</v>
      </c>
      <c r="K16" s="3">
        <f>H16*320</f>
        <v>0</v>
      </c>
      <c r="L16" s="3">
        <f t="shared" si="2"/>
        <v>0</v>
      </c>
      <c r="M16" s="3"/>
      <c r="N16" s="5">
        <f>M16-F16</f>
        <v>0</v>
      </c>
      <c r="O16" s="5">
        <f t="shared" si="3"/>
        <v>0</v>
      </c>
      <c r="P16" s="5">
        <f t="shared" si="4"/>
        <v>0</v>
      </c>
      <c r="Q16" s="5"/>
      <c r="R16" s="3"/>
      <c r="S16" s="3"/>
      <c r="T16" s="3"/>
    </row>
    <row r="17" spans="1:21">
      <c r="A17" s="16">
        <v>24</v>
      </c>
      <c r="B17" s="11" t="s">
        <v>9</v>
      </c>
      <c r="C17" s="10">
        <v>1</v>
      </c>
      <c r="D17" s="10"/>
      <c r="E17" s="10"/>
      <c r="F17" s="5">
        <f t="shared" si="0"/>
        <v>0</v>
      </c>
      <c r="G17" s="27"/>
      <c r="H17" s="2"/>
      <c r="I17" s="2"/>
      <c r="J17" s="3">
        <f t="shared" si="1"/>
        <v>0</v>
      </c>
      <c r="K17" s="3">
        <f>H17*320</f>
        <v>0</v>
      </c>
      <c r="L17" s="3">
        <f t="shared" si="2"/>
        <v>0</v>
      </c>
      <c r="M17" s="3"/>
      <c r="N17" s="5">
        <f>M17-F17</f>
        <v>0</v>
      </c>
      <c r="O17" s="5">
        <f t="shared" si="3"/>
        <v>0</v>
      </c>
      <c r="P17" s="5">
        <f t="shared" si="4"/>
        <v>0</v>
      </c>
      <c r="Q17" s="5"/>
      <c r="R17" s="2"/>
      <c r="S17" s="2"/>
      <c r="T17" s="2"/>
    </row>
    <row r="18" spans="1:21">
      <c r="A18" s="16">
        <v>25</v>
      </c>
      <c r="B18" s="11" t="s">
        <v>9</v>
      </c>
      <c r="C18" s="10">
        <v>2</v>
      </c>
      <c r="D18" s="10"/>
      <c r="E18" s="10"/>
      <c r="F18" s="5">
        <f t="shared" si="0"/>
        <v>0</v>
      </c>
      <c r="G18" s="27"/>
      <c r="H18" s="2"/>
      <c r="I18" s="2"/>
      <c r="J18" s="3">
        <f t="shared" si="1"/>
        <v>0</v>
      </c>
      <c r="K18" s="3">
        <f>H18*320</f>
        <v>0</v>
      </c>
      <c r="L18" s="3">
        <f t="shared" si="2"/>
        <v>0</v>
      </c>
      <c r="M18" s="3"/>
      <c r="N18" s="5">
        <f>M18-F18</f>
        <v>0</v>
      </c>
      <c r="O18" s="5">
        <f t="shared" si="3"/>
        <v>0</v>
      </c>
      <c r="P18" s="5">
        <f t="shared" si="4"/>
        <v>0</v>
      </c>
      <c r="Q18" s="5"/>
      <c r="R18" s="2"/>
      <c r="S18" s="2"/>
      <c r="T18" s="2"/>
    </row>
    <row r="19" spans="1:21">
      <c r="A19" s="16">
        <v>26</v>
      </c>
      <c r="B19" s="11" t="s">
        <v>9</v>
      </c>
      <c r="C19" s="10">
        <v>3</v>
      </c>
      <c r="D19" s="10"/>
      <c r="E19" s="10"/>
      <c r="F19" s="5">
        <f t="shared" si="0"/>
        <v>0</v>
      </c>
      <c r="G19" s="27"/>
      <c r="H19" s="2"/>
      <c r="I19" s="2"/>
      <c r="J19" s="3">
        <f t="shared" si="1"/>
        <v>0</v>
      </c>
      <c r="K19" s="3">
        <f>H19*320</f>
        <v>0</v>
      </c>
      <c r="L19" s="3">
        <f t="shared" si="2"/>
        <v>0</v>
      </c>
      <c r="M19" s="3"/>
      <c r="N19" s="5">
        <f>M19-F19</f>
        <v>0</v>
      </c>
      <c r="O19" s="5">
        <f t="shared" si="3"/>
        <v>0</v>
      </c>
      <c r="P19" s="5">
        <f t="shared" si="4"/>
        <v>0</v>
      </c>
      <c r="Q19" s="5"/>
      <c r="R19" s="2"/>
      <c r="S19" s="2"/>
      <c r="T19" s="2"/>
    </row>
    <row r="20" spans="1:21">
      <c r="A20" s="15">
        <v>27</v>
      </c>
      <c r="B20" s="1" t="s">
        <v>10</v>
      </c>
      <c r="C20" s="3">
        <v>1</v>
      </c>
      <c r="D20" s="3"/>
      <c r="E20" s="3"/>
      <c r="F20" s="5">
        <f t="shared" si="0"/>
        <v>0</v>
      </c>
      <c r="G20" s="27"/>
      <c r="H20" s="3"/>
      <c r="I20" s="3"/>
      <c r="J20" s="3">
        <f t="shared" si="1"/>
        <v>0</v>
      </c>
      <c r="K20" s="3">
        <f>H20*320</f>
        <v>0</v>
      </c>
      <c r="L20" s="3">
        <f t="shared" si="2"/>
        <v>0</v>
      </c>
      <c r="M20" s="3"/>
      <c r="N20" s="5">
        <f>M20-F20</f>
        <v>0</v>
      </c>
      <c r="O20" s="5">
        <f t="shared" si="3"/>
        <v>0</v>
      </c>
      <c r="P20" s="5">
        <f t="shared" si="4"/>
        <v>0</v>
      </c>
      <c r="Q20" s="5"/>
      <c r="R20" s="3"/>
      <c r="S20" s="3"/>
      <c r="T20" s="3"/>
    </row>
    <row r="21" spans="1:21">
      <c r="A21" s="15">
        <v>28</v>
      </c>
      <c r="B21" s="1" t="s">
        <v>10</v>
      </c>
      <c r="C21" s="3">
        <v>2</v>
      </c>
      <c r="D21" s="3"/>
      <c r="E21" s="3"/>
      <c r="F21" s="5">
        <f t="shared" si="0"/>
        <v>0</v>
      </c>
      <c r="G21" s="27"/>
      <c r="H21" s="3"/>
      <c r="I21" s="3"/>
      <c r="J21" s="3">
        <f t="shared" si="1"/>
        <v>0</v>
      </c>
      <c r="K21" s="3">
        <f>H21*320</f>
        <v>0</v>
      </c>
      <c r="L21" s="3">
        <f t="shared" si="2"/>
        <v>0</v>
      </c>
      <c r="M21" s="3"/>
      <c r="N21" s="5">
        <f>M21-F21</f>
        <v>0</v>
      </c>
      <c r="O21" s="5">
        <f t="shared" si="3"/>
        <v>0</v>
      </c>
      <c r="P21" s="5">
        <f t="shared" si="4"/>
        <v>0</v>
      </c>
      <c r="Q21" s="5"/>
      <c r="R21" s="3"/>
      <c r="S21" s="3"/>
      <c r="T21" s="3"/>
    </row>
    <row r="22" spans="1:21">
      <c r="A22" s="15">
        <v>29</v>
      </c>
      <c r="B22" s="1" t="s">
        <v>10</v>
      </c>
      <c r="C22" s="3">
        <v>3</v>
      </c>
      <c r="D22" s="3"/>
      <c r="E22" s="3"/>
      <c r="F22" s="5">
        <f t="shared" si="0"/>
        <v>0</v>
      </c>
      <c r="G22" s="27"/>
      <c r="H22" s="3"/>
      <c r="I22" s="3"/>
      <c r="J22" s="3">
        <f t="shared" si="1"/>
        <v>0</v>
      </c>
      <c r="K22" s="3">
        <f>H22*320</f>
        <v>0</v>
      </c>
      <c r="L22" s="3">
        <f t="shared" si="2"/>
        <v>0</v>
      </c>
      <c r="M22" s="3"/>
      <c r="N22" s="5">
        <f>M22-F22</f>
        <v>0</v>
      </c>
      <c r="O22" s="5">
        <f t="shared" si="3"/>
        <v>0</v>
      </c>
      <c r="P22" s="5">
        <f t="shared" si="4"/>
        <v>0</v>
      </c>
      <c r="Q22" s="5"/>
      <c r="R22" s="3"/>
      <c r="S22" s="3"/>
      <c r="T22" s="3"/>
    </row>
    <row r="23" spans="1:21">
      <c r="A23" s="16">
        <v>30</v>
      </c>
      <c r="B23" s="11" t="s">
        <v>11</v>
      </c>
      <c r="C23" s="10">
        <v>1</v>
      </c>
      <c r="D23" s="10">
        <v>366</v>
      </c>
      <c r="E23" s="10"/>
      <c r="F23" s="5">
        <f t="shared" si="0"/>
        <v>117120</v>
      </c>
      <c r="G23" s="27"/>
      <c r="H23" s="2">
        <v>1633</v>
      </c>
      <c r="I23" s="2">
        <f>AVERAGE(H23:H24)</f>
        <v>1491.5</v>
      </c>
      <c r="J23" s="3">
        <f t="shared" si="1"/>
        <v>1267</v>
      </c>
      <c r="K23" s="3">
        <f>H23*320</f>
        <v>522560</v>
      </c>
      <c r="L23" s="3">
        <f t="shared" si="2"/>
        <v>261280</v>
      </c>
      <c r="M23" s="5">
        <f>AVERAGE(K23,F23)</f>
        <v>319840</v>
      </c>
      <c r="N23" s="5">
        <f>M23-F23</f>
        <v>202720</v>
      </c>
      <c r="O23" s="5">
        <f t="shared" si="3"/>
        <v>95278400</v>
      </c>
      <c r="P23" s="5">
        <f t="shared" si="4"/>
        <v>47639200</v>
      </c>
      <c r="Q23" s="5">
        <f t="shared" si="5"/>
        <v>50760000</v>
      </c>
      <c r="R23" s="2">
        <f>(((LN(H23/$D$23))/(2-0)))</f>
        <v>0.74777037978454941</v>
      </c>
      <c r="S23" s="2">
        <f>AVERAGE(R23:R24)</f>
        <v>0.7001918244000519</v>
      </c>
      <c r="T23" s="2">
        <f>STDEV(R23:R24)</f>
        <v>6.728623830287582E-2</v>
      </c>
      <c r="U23">
        <f>S23-S4</f>
        <v>0.95065726126474737</v>
      </c>
    </row>
    <row r="24" spans="1:21">
      <c r="A24" s="16">
        <v>31</v>
      </c>
      <c r="B24" s="11" t="s">
        <v>11</v>
      </c>
      <c r="C24" s="10">
        <v>2</v>
      </c>
      <c r="D24" s="10"/>
      <c r="E24" s="10"/>
      <c r="F24" s="5">
        <f t="shared" si="0"/>
        <v>0</v>
      </c>
      <c r="G24" s="27"/>
      <c r="H24" s="2">
        <v>1350</v>
      </c>
      <c r="I24" s="2"/>
      <c r="J24" s="3">
        <f>H24-D23</f>
        <v>984</v>
      </c>
      <c r="K24" s="3">
        <f>H24*320</f>
        <v>432000</v>
      </c>
      <c r="L24" s="3">
        <f t="shared" si="2"/>
        <v>216000</v>
      </c>
      <c r="M24" s="5">
        <f>AVERAGE(K24,F23)</f>
        <v>274560</v>
      </c>
      <c r="N24" s="5">
        <f>M24-F23</f>
        <v>157440</v>
      </c>
      <c r="O24" s="5">
        <f t="shared" si="3"/>
        <v>73996800</v>
      </c>
      <c r="P24" s="5">
        <f t="shared" si="4"/>
        <v>36998400</v>
      </c>
      <c r="Q24" s="5">
        <f t="shared" si="5"/>
        <v>40119200</v>
      </c>
      <c r="R24" s="2">
        <f>(((LN(H24/$D$23))/(2-0)))</f>
        <v>0.65261326901555439</v>
      </c>
      <c r="S24" s="2"/>
      <c r="T24" s="2"/>
    </row>
    <row r="25" spans="1:21">
      <c r="A25" s="15">
        <v>32</v>
      </c>
      <c r="B25" s="1" t="s">
        <v>12</v>
      </c>
      <c r="C25" s="3">
        <v>1</v>
      </c>
      <c r="D25" s="3"/>
      <c r="E25" s="3"/>
      <c r="F25" s="5">
        <f t="shared" si="0"/>
        <v>0</v>
      </c>
      <c r="G25" s="27"/>
      <c r="H25" s="3"/>
      <c r="I25" s="3"/>
      <c r="J25" s="3">
        <f t="shared" si="1"/>
        <v>0</v>
      </c>
      <c r="K25" s="3">
        <f>H25*320</f>
        <v>0</v>
      </c>
      <c r="L25" s="3">
        <f t="shared" si="2"/>
        <v>0</v>
      </c>
      <c r="M25" s="3"/>
      <c r="N25" s="5">
        <f>M25-F25</f>
        <v>0</v>
      </c>
      <c r="O25" s="5">
        <f t="shared" si="3"/>
        <v>0</v>
      </c>
      <c r="P25" s="5">
        <f t="shared" si="4"/>
        <v>0</v>
      </c>
      <c r="Q25" s="5"/>
      <c r="R25" s="3"/>
      <c r="S25" s="3"/>
      <c r="T25" s="3"/>
    </row>
    <row r="26" spans="1:21">
      <c r="A26" s="15">
        <v>33</v>
      </c>
      <c r="B26" s="1" t="s">
        <v>12</v>
      </c>
      <c r="C26" s="3">
        <v>2</v>
      </c>
      <c r="D26" s="3"/>
      <c r="E26" s="3"/>
      <c r="F26" s="5">
        <f t="shared" si="0"/>
        <v>0</v>
      </c>
      <c r="G26" s="27"/>
      <c r="H26" s="3"/>
      <c r="I26" s="3"/>
      <c r="J26" s="3">
        <f t="shared" si="1"/>
        <v>0</v>
      </c>
      <c r="K26" s="3">
        <f>H26*320</f>
        <v>0</v>
      </c>
      <c r="L26" s="3">
        <f t="shared" si="2"/>
        <v>0</v>
      </c>
      <c r="M26" s="3"/>
      <c r="N26" s="5">
        <f>M26-F26</f>
        <v>0</v>
      </c>
      <c r="O26" s="5">
        <f t="shared" si="3"/>
        <v>0</v>
      </c>
      <c r="P26" s="5">
        <f t="shared" si="4"/>
        <v>0</v>
      </c>
      <c r="Q26" s="5"/>
      <c r="R26" s="3"/>
      <c r="S26" s="3"/>
      <c r="T26" s="3"/>
    </row>
    <row r="27" spans="1:21">
      <c r="A27" s="16">
        <v>34</v>
      </c>
      <c r="B27" s="11" t="s">
        <v>13</v>
      </c>
      <c r="C27" s="10">
        <v>1</v>
      </c>
      <c r="D27" s="10">
        <v>366</v>
      </c>
      <c r="E27" s="10"/>
      <c r="F27" s="5">
        <f t="shared" si="0"/>
        <v>117120</v>
      </c>
      <c r="G27" s="27"/>
      <c r="H27" s="2">
        <v>1233</v>
      </c>
      <c r="I27" s="2">
        <f>AVERAGE(H27:H29)</f>
        <v>1172</v>
      </c>
      <c r="J27" s="3">
        <f t="shared" si="1"/>
        <v>867</v>
      </c>
      <c r="K27" s="3">
        <f>H27*320</f>
        <v>394560</v>
      </c>
      <c r="L27" s="3">
        <f t="shared" si="2"/>
        <v>197280</v>
      </c>
      <c r="M27" s="5">
        <f>AVERAGE(K27,F27)</f>
        <v>255840</v>
      </c>
      <c r="N27" s="5">
        <f>M27-F27</f>
        <v>138720</v>
      </c>
      <c r="O27" s="5">
        <f t="shared" si="3"/>
        <v>65198400</v>
      </c>
      <c r="P27" s="5">
        <f t="shared" si="4"/>
        <v>32599200</v>
      </c>
      <c r="Q27" s="5">
        <f t="shared" si="5"/>
        <v>35720000</v>
      </c>
      <c r="R27" s="2">
        <f>(((LN(H27/$D$27))/(2-0)))</f>
        <v>0.60728608488148905</v>
      </c>
      <c r="S27" s="2">
        <f>AVERAGE(R27:R29)</f>
        <v>0.5813633042875157</v>
      </c>
      <c r="T27" s="2">
        <f>STDEV(R27:R29)</f>
        <v>2.8891488413107898E-2</v>
      </c>
      <c r="U27">
        <f>S27-S4</f>
        <v>0.83182874115221117</v>
      </c>
    </row>
    <row r="28" spans="1:21">
      <c r="A28" s="16">
        <v>35</v>
      </c>
      <c r="B28" s="11" t="s">
        <v>13</v>
      </c>
      <c r="C28" s="10">
        <v>2</v>
      </c>
      <c r="D28" s="10"/>
      <c r="E28" s="10"/>
      <c r="F28" s="5">
        <f t="shared" si="0"/>
        <v>0</v>
      </c>
      <c r="G28" s="27"/>
      <c r="H28" s="2">
        <v>1100</v>
      </c>
      <c r="I28" s="2"/>
      <c r="J28" s="3">
        <f>H28-D27</f>
        <v>734</v>
      </c>
      <c r="K28" s="3">
        <f>H28*320</f>
        <v>352000</v>
      </c>
      <c r="L28" s="3">
        <f t="shared" si="2"/>
        <v>176000</v>
      </c>
      <c r="M28" s="5">
        <f>AVERAGE(K28,F27)</f>
        <v>234560</v>
      </c>
      <c r="N28" s="5">
        <f>M28-F27</f>
        <v>117440</v>
      </c>
      <c r="O28" s="5">
        <f t="shared" si="3"/>
        <v>55196800</v>
      </c>
      <c r="P28" s="5">
        <f t="shared" si="4"/>
        <v>27598400</v>
      </c>
      <c r="Q28" s="5">
        <f t="shared" si="5"/>
        <v>30719200</v>
      </c>
      <c r="R28" s="2">
        <f t="shared" ref="R28:R29" si="7">(((LN(H28/$D$27))/(2-0)))</f>
        <v>0.55021606269254775</v>
      </c>
      <c r="S28" s="2"/>
      <c r="T28" s="2"/>
    </row>
    <row r="29" spans="1:21">
      <c r="A29" s="16">
        <v>36</v>
      </c>
      <c r="B29" s="11" t="s">
        <v>13</v>
      </c>
      <c r="C29" s="10">
        <v>3</v>
      </c>
      <c r="D29" s="10"/>
      <c r="E29" s="10"/>
      <c r="F29" s="5">
        <f t="shared" si="0"/>
        <v>0</v>
      </c>
      <c r="G29" s="27"/>
      <c r="H29" s="2">
        <v>1183</v>
      </c>
      <c r="I29" s="2"/>
      <c r="J29" s="3">
        <f>H29-D27</f>
        <v>817</v>
      </c>
      <c r="K29" s="3">
        <f>H29*320</f>
        <v>378560</v>
      </c>
      <c r="L29" s="3">
        <f t="shared" si="2"/>
        <v>189280</v>
      </c>
      <c r="M29" s="5">
        <f>AVERAGE(K29,F27)</f>
        <v>247840</v>
      </c>
      <c r="N29" s="5">
        <f>M29-F27</f>
        <v>130720</v>
      </c>
      <c r="O29" s="5">
        <f t="shared" si="3"/>
        <v>61438400</v>
      </c>
      <c r="P29" s="5">
        <f t="shared" si="4"/>
        <v>30719200</v>
      </c>
      <c r="Q29" s="5">
        <f t="shared" si="5"/>
        <v>33840000</v>
      </c>
      <c r="R29" s="2">
        <f t="shared" si="7"/>
        <v>0.5865877652885102</v>
      </c>
      <c r="S29" s="2"/>
      <c r="T29" s="2"/>
    </row>
    <row r="30" spans="1:21">
      <c r="A30" s="15">
        <v>37</v>
      </c>
      <c r="B30" s="1" t="s">
        <v>14</v>
      </c>
      <c r="C30" s="3">
        <v>1</v>
      </c>
      <c r="D30" s="3"/>
      <c r="E30" s="3"/>
      <c r="F30" s="5">
        <f t="shared" si="0"/>
        <v>0</v>
      </c>
      <c r="G30" s="27"/>
      <c r="H30" s="3"/>
      <c r="I30" s="3"/>
      <c r="J30" s="3">
        <f t="shared" si="1"/>
        <v>0</v>
      </c>
      <c r="K30" s="3">
        <f>H30*320</f>
        <v>0</v>
      </c>
      <c r="L30" s="3">
        <f t="shared" si="2"/>
        <v>0</v>
      </c>
      <c r="M30" s="3"/>
      <c r="N30" s="5">
        <f>M30-F30</f>
        <v>0</v>
      </c>
      <c r="O30" s="5">
        <f t="shared" si="3"/>
        <v>0</v>
      </c>
      <c r="P30" s="5">
        <f t="shared" si="4"/>
        <v>0</v>
      </c>
      <c r="Q30" s="5"/>
      <c r="R30" s="3"/>
      <c r="S30" s="3"/>
      <c r="T30" s="3"/>
    </row>
    <row r="31" spans="1:21">
      <c r="A31" s="15">
        <v>38</v>
      </c>
      <c r="B31" s="1" t="s">
        <v>14</v>
      </c>
      <c r="C31" s="3">
        <v>2</v>
      </c>
      <c r="D31" s="3"/>
      <c r="E31" s="3"/>
      <c r="F31" s="5">
        <f t="shared" si="0"/>
        <v>0</v>
      </c>
      <c r="G31" s="27"/>
      <c r="H31" s="3"/>
      <c r="I31" s="3"/>
      <c r="J31" s="3">
        <f t="shared" si="1"/>
        <v>0</v>
      </c>
      <c r="K31" s="3">
        <f>H31*320</f>
        <v>0</v>
      </c>
      <c r="L31" s="3">
        <f t="shared" si="2"/>
        <v>0</v>
      </c>
      <c r="M31" s="3"/>
      <c r="N31" s="5">
        <f>M31-F31</f>
        <v>0</v>
      </c>
      <c r="O31" s="5">
        <f t="shared" si="3"/>
        <v>0</v>
      </c>
      <c r="P31" s="5">
        <f t="shared" si="4"/>
        <v>0</v>
      </c>
      <c r="Q31" s="5"/>
      <c r="R31" s="3"/>
      <c r="S31" s="3"/>
      <c r="T31" s="3"/>
    </row>
    <row r="32" spans="1:21">
      <c r="A32" s="1">
        <v>39</v>
      </c>
      <c r="B32" s="1" t="s">
        <v>14</v>
      </c>
      <c r="C32" s="3">
        <v>3</v>
      </c>
      <c r="D32" s="3"/>
      <c r="E32" s="3"/>
      <c r="F32" s="5">
        <f t="shared" si="0"/>
        <v>0</v>
      </c>
      <c r="G32" s="27"/>
      <c r="H32" s="3"/>
      <c r="I32" s="3"/>
      <c r="J32" s="3">
        <f t="shared" si="1"/>
        <v>0</v>
      </c>
      <c r="K32" s="3">
        <f>H32*320</f>
        <v>0</v>
      </c>
      <c r="L32" s="3">
        <f t="shared" si="2"/>
        <v>0</v>
      </c>
      <c r="M32" s="3"/>
      <c r="N32" s="5">
        <f>M32-F32</f>
        <v>0</v>
      </c>
      <c r="O32" s="5">
        <f t="shared" si="3"/>
        <v>0</v>
      </c>
      <c r="P32" s="5">
        <f t="shared" si="4"/>
        <v>0</v>
      </c>
      <c r="Q32" s="5"/>
      <c r="R32" s="3"/>
      <c r="S32" s="3"/>
      <c r="T32" s="3"/>
    </row>
  </sheetData>
  <mergeCells count="2">
    <mergeCell ref="D1:E1"/>
    <mergeCell ref="H1:I1"/>
  </mergeCells>
  <phoneticPr fontId="4" type="noConversion"/>
  <pageMargins left="0.75" right="0.75" top="1" bottom="1" header="0.5" footer="0.5"/>
  <pageSetup scale="83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J22" sqref="J22"/>
    </sheetView>
  </sheetViews>
  <sheetFormatPr baseColWidth="10" defaultRowHeight="15" x14ac:dyDescent="0"/>
  <sheetData>
    <row r="1" spans="1:8">
      <c r="A1" t="s">
        <v>47</v>
      </c>
      <c r="H1" s="12"/>
    </row>
    <row r="2" spans="1:8">
      <c r="D2" t="s">
        <v>23</v>
      </c>
      <c r="F2" t="s">
        <v>24</v>
      </c>
      <c r="H2" s="12" t="s">
        <v>39</v>
      </c>
    </row>
    <row r="3" spans="1:8">
      <c r="A3" t="s">
        <v>1</v>
      </c>
      <c r="B3" t="s">
        <v>2</v>
      </c>
      <c r="C3" t="s">
        <v>18</v>
      </c>
      <c r="D3" t="s">
        <v>48</v>
      </c>
      <c r="F3" t="s">
        <v>48</v>
      </c>
      <c r="H3" s="12" t="s">
        <v>40</v>
      </c>
    </row>
    <row r="4" spans="1:8">
      <c r="A4" s="3">
        <v>0</v>
      </c>
      <c r="B4" s="4" t="s">
        <v>4</v>
      </c>
      <c r="C4" s="3">
        <v>1</v>
      </c>
      <c r="D4" s="3"/>
      <c r="E4" s="3"/>
      <c r="F4" s="3"/>
      <c r="G4" s="3"/>
      <c r="H4" s="3"/>
    </row>
    <row r="5" spans="1:8">
      <c r="A5" s="3">
        <v>0</v>
      </c>
      <c r="B5" s="4" t="s">
        <v>4</v>
      </c>
      <c r="C5" s="3">
        <v>2</v>
      </c>
      <c r="D5" s="3"/>
      <c r="E5" s="3"/>
      <c r="F5" s="3"/>
      <c r="G5" s="3"/>
      <c r="H5" s="3"/>
    </row>
    <row r="6" spans="1:8">
      <c r="A6" s="3">
        <v>0</v>
      </c>
      <c r="B6" s="4" t="s">
        <v>4</v>
      </c>
      <c r="C6" s="3">
        <v>3</v>
      </c>
      <c r="D6" s="3"/>
      <c r="E6" s="3"/>
      <c r="F6" s="3"/>
      <c r="G6" s="3"/>
      <c r="H6" s="3"/>
    </row>
    <row r="7" spans="1:8">
      <c r="A7" s="10">
        <v>0</v>
      </c>
      <c r="B7" s="11" t="s">
        <v>5</v>
      </c>
      <c r="C7" s="10">
        <v>1</v>
      </c>
      <c r="D7" s="2">
        <v>599.41300000000001</v>
      </c>
      <c r="E7" s="10">
        <f>AVERAGE(D7:D9)</f>
        <v>600.21033333333332</v>
      </c>
      <c r="F7" s="2">
        <v>654.57799999999997</v>
      </c>
      <c r="G7" s="10">
        <f>AVERAGE(F7:F9)</f>
        <v>621.40200000000004</v>
      </c>
      <c r="H7" s="10">
        <f>G7-E7</f>
        <v>21.19166666666672</v>
      </c>
    </row>
    <row r="8" spans="1:8">
      <c r="A8" s="10">
        <v>0</v>
      </c>
      <c r="B8" s="11" t="s">
        <v>5</v>
      </c>
      <c r="C8" s="10">
        <v>2</v>
      </c>
      <c r="D8" s="2">
        <v>612.94000000000005</v>
      </c>
      <c r="E8" s="10"/>
      <c r="F8" s="2">
        <v>686.27800000000002</v>
      </c>
      <c r="G8" s="10"/>
      <c r="H8" s="10"/>
    </row>
    <row r="9" spans="1:8">
      <c r="A9" s="10">
        <v>0</v>
      </c>
      <c r="B9" s="11" t="s">
        <v>5</v>
      </c>
      <c r="C9" s="10">
        <v>3</v>
      </c>
      <c r="D9" s="2">
        <v>588.27800000000002</v>
      </c>
      <c r="E9" s="10"/>
      <c r="F9" s="2">
        <v>523.35</v>
      </c>
      <c r="G9" s="10"/>
      <c r="H9" s="10"/>
    </row>
    <row r="10" spans="1:8">
      <c r="A10" s="3">
        <v>0</v>
      </c>
      <c r="B10" s="1" t="s">
        <v>6</v>
      </c>
      <c r="C10" s="3">
        <v>1</v>
      </c>
      <c r="D10" s="3">
        <v>613.90700000000004</v>
      </c>
      <c r="E10" s="3">
        <f>AVERAGE(D10:D12)</f>
        <v>610.64933333333329</v>
      </c>
      <c r="F10" s="3">
        <v>922.22199999999998</v>
      </c>
      <c r="G10" s="3">
        <f>AVERAGE(F10:F12)</f>
        <v>914.72933333333333</v>
      </c>
      <c r="H10" s="3">
        <f>G10-E10</f>
        <v>304.08000000000004</v>
      </c>
    </row>
    <row r="11" spans="1:8">
      <c r="A11" s="3">
        <v>0</v>
      </c>
      <c r="B11" s="1" t="s">
        <v>6</v>
      </c>
      <c r="C11" s="3">
        <v>2</v>
      </c>
      <c r="D11" s="3">
        <v>628.38300000000004</v>
      </c>
      <c r="E11" s="3"/>
      <c r="F11" s="3">
        <v>918.84100000000001</v>
      </c>
      <c r="G11" s="3"/>
      <c r="H11" s="3"/>
    </row>
    <row r="12" spans="1:8">
      <c r="A12" s="3">
        <v>0</v>
      </c>
      <c r="B12" s="1" t="s">
        <v>6</v>
      </c>
      <c r="C12" s="3">
        <v>3</v>
      </c>
      <c r="D12" s="3">
        <v>589.65800000000002</v>
      </c>
      <c r="E12" s="3"/>
      <c r="F12" s="3">
        <v>903.125</v>
      </c>
      <c r="G12" s="3"/>
      <c r="H12" s="3"/>
    </row>
    <row r="13" spans="1:8">
      <c r="A13" s="10">
        <v>0</v>
      </c>
      <c r="B13" s="11" t="s">
        <v>7</v>
      </c>
      <c r="C13" s="10">
        <v>1</v>
      </c>
      <c r="D13" s="2">
        <v>608.41300000000001</v>
      </c>
      <c r="E13" s="10">
        <f>AVERAGE(D13:D14)</f>
        <v>608.67650000000003</v>
      </c>
      <c r="F13" s="2">
        <v>609.83100000000002</v>
      </c>
      <c r="G13" s="10">
        <f>AVERAGE(F13:F14)</f>
        <v>643.06799999999998</v>
      </c>
      <c r="H13" s="10">
        <f>G13-E13</f>
        <v>34.391499999999951</v>
      </c>
    </row>
    <row r="14" spans="1:8">
      <c r="A14" s="10">
        <v>0</v>
      </c>
      <c r="B14" s="11" t="s">
        <v>7</v>
      </c>
      <c r="C14" s="10">
        <v>2</v>
      </c>
      <c r="D14" s="2">
        <v>608.94000000000005</v>
      </c>
      <c r="E14" s="10"/>
      <c r="F14" s="2">
        <v>676.30499999999995</v>
      </c>
      <c r="G14" s="10"/>
      <c r="H14" s="10"/>
    </row>
    <row r="15" spans="1:8">
      <c r="A15" s="3">
        <v>0</v>
      </c>
      <c r="B15" s="1" t="s">
        <v>8</v>
      </c>
      <c r="C15" s="3">
        <v>1</v>
      </c>
      <c r="D15" s="3">
        <v>611.78700000000003</v>
      </c>
      <c r="E15" s="3">
        <f>AVERAGE(D15:D16)</f>
        <v>607.91100000000006</v>
      </c>
      <c r="F15" s="3">
        <v>937.40300000000002</v>
      </c>
      <c r="G15" s="3">
        <f>AVERAGE(F15:F16)</f>
        <v>926.65149999999994</v>
      </c>
      <c r="H15" s="3">
        <f>G15-E15</f>
        <v>318.74049999999988</v>
      </c>
    </row>
    <row r="16" spans="1:8">
      <c r="A16" s="3">
        <v>0</v>
      </c>
      <c r="B16" s="1" t="s">
        <v>8</v>
      </c>
      <c r="C16" s="3">
        <v>2</v>
      </c>
      <c r="D16" s="3">
        <v>604.03499999999997</v>
      </c>
      <c r="E16" s="3"/>
      <c r="F16" s="3">
        <v>915.9</v>
      </c>
      <c r="G16" s="3"/>
      <c r="H16" s="3"/>
    </row>
    <row r="17" spans="1:8">
      <c r="A17" s="10">
        <v>0</v>
      </c>
      <c r="B17" s="11" t="s">
        <v>9</v>
      </c>
      <c r="C17" s="10">
        <v>1</v>
      </c>
      <c r="D17" s="10"/>
      <c r="E17" s="10"/>
      <c r="F17" s="28"/>
      <c r="G17" s="10"/>
      <c r="H17" s="10"/>
    </row>
    <row r="18" spans="1:8">
      <c r="A18" s="10">
        <v>0</v>
      </c>
      <c r="B18" s="11" t="s">
        <v>9</v>
      </c>
      <c r="C18" s="10">
        <v>2</v>
      </c>
      <c r="D18" s="10"/>
      <c r="E18" s="10"/>
      <c r="F18" s="28"/>
      <c r="G18" s="10"/>
      <c r="H18" s="10"/>
    </row>
    <row r="19" spans="1:8">
      <c r="A19" s="10">
        <v>0</v>
      </c>
      <c r="B19" s="11" t="s">
        <v>9</v>
      </c>
      <c r="C19" s="10">
        <v>3</v>
      </c>
      <c r="D19" s="10"/>
      <c r="E19" s="10"/>
      <c r="F19" s="28"/>
      <c r="G19" s="10"/>
      <c r="H19" s="10"/>
    </row>
    <row r="20" spans="1:8">
      <c r="A20" s="3">
        <v>0</v>
      </c>
      <c r="B20" s="1" t="s">
        <v>10</v>
      </c>
      <c r="C20" s="3">
        <v>1</v>
      </c>
      <c r="D20" s="3"/>
      <c r="E20" s="3"/>
      <c r="F20" s="3"/>
      <c r="G20" s="3"/>
      <c r="H20" s="3"/>
    </row>
    <row r="21" spans="1:8">
      <c r="A21" s="3">
        <v>0</v>
      </c>
      <c r="B21" s="1" t="s">
        <v>10</v>
      </c>
      <c r="C21" s="3">
        <v>2</v>
      </c>
      <c r="D21" s="3"/>
      <c r="E21" s="3"/>
      <c r="F21" s="3"/>
      <c r="G21" s="3"/>
      <c r="H21" s="3"/>
    </row>
    <row r="22" spans="1:8">
      <c r="A22" s="3">
        <v>0</v>
      </c>
      <c r="B22" s="1" t="s">
        <v>10</v>
      </c>
      <c r="C22" s="3">
        <v>3</v>
      </c>
      <c r="D22" s="3"/>
      <c r="E22" s="3"/>
      <c r="F22" s="3"/>
      <c r="G22" s="3"/>
      <c r="H22" s="3"/>
    </row>
    <row r="23" spans="1:8">
      <c r="A23" s="10">
        <v>0</v>
      </c>
      <c r="B23" s="11" t="s">
        <v>11</v>
      </c>
      <c r="C23" s="10">
        <v>1</v>
      </c>
      <c r="D23" s="2">
        <v>597.57100000000003</v>
      </c>
      <c r="E23" s="10">
        <f>AVERAGE(D23:D24)</f>
        <v>598.33249999999998</v>
      </c>
      <c r="F23" s="2">
        <v>739.85900000000004</v>
      </c>
      <c r="G23" s="10">
        <f>AVERAGE(F23:F24)</f>
        <v>721.83050000000003</v>
      </c>
      <c r="H23" s="10">
        <f>G23-E23</f>
        <v>123.49800000000005</v>
      </c>
    </row>
    <row r="24" spans="1:8">
      <c r="A24" s="10">
        <v>0</v>
      </c>
      <c r="B24" s="11" t="s">
        <v>11</v>
      </c>
      <c r="C24" s="10">
        <v>2</v>
      </c>
      <c r="D24" s="2">
        <v>599.09400000000005</v>
      </c>
      <c r="E24" s="10"/>
      <c r="F24" s="2">
        <v>703.80200000000002</v>
      </c>
      <c r="G24" s="10"/>
      <c r="H24" s="10"/>
    </row>
    <row r="25" spans="1:8">
      <c r="A25" s="3">
        <v>0</v>
      </c>
      <c r="B25" s="1" t="s">
        <v>12</v>
      </c>
      <c r="C25" s="3">
        <v>1</v>
      </c>
      <c r="D25" s="3">
        <v>598.15300000000002</v>
      </c>
      <c r="E25" s="3">
        <f>AVERAGE(D25:D26)</f>
        <v>600.69350000000009</v>
      </c>
      <c r="F25" s="3">
        <v>949.18499999999995</v>
      </c>
      <c r="G25" s="3">
        <f>AVERAGE(F25:F26)</f>
        <v>955.452</v>
      </c>
      <c r="H25" s="3">
        <f>G25-E25</f>
        <v>354.75849999999991</v>
      </c>
    </row>
    <row r="26" spans="1:8">
      <c r="A26" s="3">
        <v>0</v>
      </c>
      <c r="B26" s="1" t="s">
        <v>12</v>
      </c>
      <c r="C26" s="3">
        <v>2</v>
      </c>
      <c r="D26" s="3">
        <v>603.23400000000004</v>
      </c>
      <c r="E26" s="3"/>
      <c r="F26" s="3">
        <v>961.71900000000005</v>
      </c>
      <c r="G26" s="3"/>
      <c r="H26" s="3"/>
    </row>
    <row r="27" spans="1:8">
      <c r="A27" s="10">
        <v>0</v>
      </c>
      <c r="B27" s="11" t="s">
        <v>13</v>
      </c>
      <c r="C27" s="10">
        <v>1</v>
      </c>
      <c r="D27" s="2">
        <v>591.178</v>
      </c>
      <c r="E27" s="10">
        <f>AVERAGE(D27:D29)</f>
        <v>591.31133333333344</v>
      </c>
      <c r="F27" s="2">
        <v>809.33699999999999</v>
      </c>
      <c r="G27" s="10">
        <f>AVERAGE(F27:F29)</f>
        <v>785.11</v>
      </c>
      <c r="H27" s="10">
        <f>G27-E27</f>
        <v>193.79866666666658</v>
      </c>
    </row>
    <row r="28" spans="1:8">
      <c r="A28" s="10">
        <v>0</v>
      </c>
      <c r="B28" s="11" t="s">
        <v>13</v>
      </c>
      <c r="C28" s="10">
        <v>2</v>
      </c>
      <c r="D28" s="2">
        <v>592.36500000000001</v>
      </c>
      <c r="E28" s="10"/>
      <c r="F28" s="2">
        <v>768.673</v>
      </c>
      <c r="G28" s="10"/>
      <c r="H28" s="10"/>
    </row>
    <row r="29" spans="1:8">
      <c r="A29" s="10">
        <v>0</v>
      </c>
      <c r="B29" s="11" t="s">
        <v>13</v>
      </c>
      <c r="C29" s="10">
        <v>3</v>
      </c>
      <c r="D29" s="2">
        <v>590.39099999999996</v>
      </c>
      <c r="E29" s="10"/>
      <c r="F29" s="2">
        <v>777.32</v>
      </c>
      <c r="G29" s="10"/>
      <c r="H29" s="10"/>
    </row>
    <row r="30" spans="1:8">
      <c r="A30" s="3">
        <v>0</v>
      </c>
      <c r="B30" s="1" t="s">
        <v>14</v>
      </c>
      <c r="C30" s="3">
        <v>1</v>
      </c>
      <c r="D30" s="3">
        <v>586.02300000000002</v>
      </c>
      <c r="E30" s="3">
        <f>AVERAGE(D30:D32)</f>
        <v>593.22033333333331</v>
      </c>
      <c r="F30" s="3">
        <v>948.25</v>
      </c>
      <c r="G30" s="3">
        <f>AVERAGE(F30:F32)</f>
        <v>957.41433333333327</v>
      </c>
      <c r="H30" s="3">
        <f>G30-E30</f>
        <v>364.19399999999996</v>
      </c>
    </row>
    <row r="31" spans="1:8">
      <c r="A31" s="3">
        <v>0</v>
      </c>
      <c r="B31" s="1" t="s">
        <v>14</v>
      </c>
      <c r="C31" s="3">
        <v>2</v>
      </c>
      <c r="D31" s="3">
        <v>596.24800000000005</v>
      </c>
      <c r="E31" s="3"/>
      <c r="F31" s="3">
        <v>951.45</v>
      </c>
      <c r="G31" s="3"/>
      <c r="H31" s="3"/>
    </row>
    <row r="32" spans="1:8">
      <c r="A32" s="3">
        <v>0</v>
      </c>
      <c r="B32" s="1" t="s">
        <v>14</v>
      </c>
      <c r="C32" s="3">
        <v>3</v>
      </c>
      <c r="D32" s="3">
        <v>597.39</v>
      </c>
      <c r="E32" s="3"/>
      <c r="F32" s="3">
        <v>972.54300000000001</v>
      </c>
      <c r="G32" s="3"/>
      <c r="H32" s="3"/>
    </row>
    <row r="33" spans="8:8">
      <c r="H33" s="12"/>
    </row>
    <row r="34" spans="8:8">
      <c r="H34" s="1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workbookViewId="0">
      <selection activeCell="J6" sqref="J6"/>
    </sheetView>
  </sheetViews>
  <sheetFormatPr baseColWidth="10" defaultRowHeight="15" x14ac:dyDescent="0"/>
  <cols>
    <col min="2" max="2" width="13.6640625" customWidth="1"/>
    <col min="3" max="3" width="5.33203125" customWidth="1"/>
  </cols>
  <sheetData>
    <row r="1" spans="2:7">
      <c r="B1" s="6"/>
      <c r="C1" s="6"/>
      <c r="D1" s="6"/>
      <c r="E1" s="6"/>
      <c r="F1" s="6"/>
      <c r="G1" s="6"/>
    </row>
    <row r="2" spans="2:7">
      <c r="B2" s="6"/>
      <c r="C2" s="6"/>
      <c r="D2" s="6" t="s">
        <v>23</v>
      </c>
      <c r="E2" s="6"/>
      <c r="F2" s="6" t="s">
        <v>24</v>
      </c>
      <c r="G2" s="6"/>
    </row>
    <row r="3" spans="2:7">
      <c r="B3" s="6" t="s">
        <v>2</v>
      </c>
      <c r="C3" s="6" t="s">
        <v>18</v>
      </c>
      <c r="D3" s="6" t="s">
        <v>21</v>
      </c>
      <c r="E3" s="6" t="s">
        <v>22</v>
      </c>
      <c r="F3" s="6" t="s">
        <v>21</v>
      </c>
      <c r="G3" s="6" t="s">
        <v>17</v>
      </c>
    </row>
    <row r="4" spans="2:7">
      <c r="B4" s="21" t="s">
        <v>4</v>
      </c>
      <c r="C4" s="7">
        <v>1</v>
      </c>
      <c r="D4" s="7">
        <v>0.13100000000000001</v>
      </c>
      <c r="E4" s="7">
        <f>AVERAGE(D4:D6)</f>
        <v>0.18000000000000002</v>
      </c>
      <c r="F4" s="7">
        <v>0.21199999999999999</v>
      </c>
      <c r="G4" s="7">
        <f>AVERAGE(F4:F5)</f>
        <v>0.19550000000000001</v>
      </c>
    </row>
    <row r="5" spans="2:7">
      <c r="B5" s="22" t="s">
        <v>4</v>
      </c>
      <c r="C5" s="8">
        <v>2</v>
      </c>
      <c r="D5" s="8">
        <v>0.26</v>
      </c>
      <c r="E5" s="8"/>
      <c r="F5" s="8">
        <v>0.17899999999999999</v>
      </c>
      <c r="G5" s="8"/>
    </row>
    <row r="6" spans="2:7">
      <c r="B6" s="22" t="s">
        <v>4</v>
      </c>
      <c r="C6" s="8">
        <v>3</v>
      </c>
      <c r="D6" s="8">
        <v>0.14899999999999999</v>
      </c>
      <c r="E6" s="8"/>
      <c r="F6" s="8"/>
      <c r="G6" s="8"/>
    </row>
    <row r="7" spans="2:7">
      <c r="B7" s="23" t="s">
        <v>5</v>
      </c>
      <c r="C7" s="9">
        <v>1</v>
      </c>
      <c r="D7" s="2">
        <v>0.26100000000000001</v>
      </c>
      <c r="E7" s="18">
        <f>D7</f>
        <v>0.26100000000000001</v>
      </c>
      <c r="F7" s="9">
        <v>-0.32700000000000001</v>
      </c>
      <c r="G7" s="9">
        <f>AVERAGE(F7:F9)</f>
        <v>-0.16433333333333333</v>
      </c>
    </row>
    <row r="8" spans="2:7">
      <c r="B8" s="23" t="s">
        <v>5</v>
      </c>
      <c r="C8" s="9">
        <v>1</v>
      </c>
      <c r="D8" s="2"/>
      <c r="E8" s="18"/>
      <c r="F8" s="9">
        <v>-0.52400000000000002</v>
      </c>
      <c r="G8" s="9"/>
    </row>
    <row r="9" spans="2:7">
      <c r="B9" s="23" t="s">
        <v>5</v>
      </c>
      <c r="C9" s="9">
        <v>1</v>
      </c>
      <c r="D9" s="2"/>
      <c r="E9" s="18"/>
      <c r="F9" s="9">
        <v>0.35799999999999998</v>
      </c>
      <c r="G9" s="9"/>
    </row>
    <row r="10" spans="2:7">
      <c r="B10" s="24" t="s">
        <v>6</v>
      </c>
      <c r="C10" s="8">
        <v>1</v>
      </c>
      <c r="D10" s="8"/>
      <c r="E10" s="8"/>
      <c r="F10" s="8">
        <v>0.36399999999999999</v>
      </c>
      <c r="G10" s="8">
        <f>AVERAGE(F10:F12)</f>
        <v>0.36533333333333334</v>
      </c>
    </row>
    <row r="11" spans="2:7">
      <c r="B11" s="24" t="s">
        <v>6</v>
      </c>
      <c r="C11" s="8">
        <v>1</v>
      </c>
      <c r="D11" s="8"/>
      <c r="E11" s="8"/>
      <c r="F11" s="8">
        <v>0.38800000000000001</v>
      </c>
      <c r="G11" s="8"/>
    </row>
    <row r="12" spans="2:7">
      <c r="B12" s="24" t="s">
        <v>6</v>
      </c>
      <c r="C12" s="8">
        <v>1</v>
      </c>
      <c r="D12" s="8"/>
      <c r="E12" s="8"/>
      <c r="F12" s="8">
        <v>0.34399999999999997</v>
      </c>
      <c r="G12" s="8"/>
    </row>
    <row r="13" spans="2:7">
      <c r="B13" s="23" t="s">
        <v>7</v>
      </c>
      <c r="C13" s="9">
        <v>1</v>
      </c>
      <c r="D13" s="9">
        <v>0.34699999999999998</v>
      </c>
      <c r="E13" s="9">
        <f>D13</f>
        <v>0.34699999999999998</v>
      </c>
      <c r="F13" s="9">
        <v>0.39200000000000002</v>
      </c>
      <c r="G13" s="19">
        <f>AVERAGE(F13:F14)</f>
        <v>0.32600000000000001</v>
      </c>
    </row>
    <row r="14" spans="2:7">
      <c r="B14" s="23" t="s">
        <v>7</v>
      </c>
      <c r="C14" s="9">
        <v>1</v>
      </c>
      <c r="D14" s="9"/>
      <c r="E14" s="9"/>
      <c r="F14" s="9">
        <v>0.26</v>
      </c>
      <c r="G14" s="19"/>
    </row>
    <row r="15" spans="2:7">
      <c r="B15" s="24" t="s">
        <v>8</v>
      </c>
      <c r="C15" s="8">
        <v>1</v>
      </c>
      <c r="D15" s="8">
        <v>0.36299999999999999</v>
      </c>
      <c r="E15" s="8">
        <f>D15</f>
        <v>0.36299999999999999</v>
      </c>
      <c r="F15" s="8">
        <v>0.378</v>
      </c>
      <c r="G15" s="20">
        <f>AVERAGE(F15:F16)</f>
        <v>0.38200000000000001</v>
      </c>
    </row>
    <row r="16" spans="2:7">
      <c r="B16" s="24" t="s">
        <v>8</v>
      </c>
      <c r="C16" s="8">
        <v>1</v>
      </c>
      <c r="D16" s="8"/>
      <c r="E16" s="8"/>
      <c r="F16" s="8">
        <v>0.38600000000000001</v>
      </c>
      <c r="G16" s="20"/>
    </row>
    <row r="17" spans="2:8">
      <c r="B17" s="23" t="s">
        <v>9</v>
      </c>
      <c r="C17" s="9">
        <v>1</v>
      </c>
      <c r="D17" s="9"/>
      <c r="E17" s="9"/>
      <c r="F17" s="9"/>
      <c r="G17" s="9"/>
    </row>
    <row r="18" spans="2:8">
      <c r="B18" s="23" t="s">
        <v>9</v>
      </c>
      <c r="C18" s="9">
        <v>2</v>
      </c>
      <c r="D18" s="9"/>
      <c r="E18" s="9"/>
      <c r="F18" s="9"/>
      <c r="G18" s="19"/>
    </row>
    <row r="19" spans="2:8">
      <c r="B19" s="23" t="s">
        <v>9</v>
      </c>
      <c r="C19" s="9">
        <v>3</v>
      </c>
      <c r="D19" s="9"/>
      <c r="E19" s="9"/>
      <c r="F19" s="9"/>
      <c r="G19" s="19"/>
    </row>
    <row r="20" spans="2:8">
      <c r="B20" s="25" t="s">
        <v>10</v>
      </c>
      <c r="C20" s="20">
        <v>1</v>
      </c>
      <c r="D20" s="20">
        <v>0.36599999999999999</v>
      </c>
      <c r="E20" s="20">
        <f>AVERAGE(D20:D22)</f>
        <v>0.36899999999999999</v>
      </c>
      <c r="F20" s="20">
        <v>0.44</v>
      </c>
      <c r="G20" s="20">
        <f>AVERAGE(F20:F22)</f>
        <v>0.44366666666666665</v>
      </c>
    </row>
    <row r="21" spans="2:8">
      <c r="B21" s="25" t="s">
        <v>10</v>
      </c>
      <c r="C21" s="20">
        <v>2</v>
      </c>
      <c r="D21" s="20">
        <v>0.379</v>
      </c>
      <c r="E21" s="20"/>
      <c r="F21" s="20">
        <v>0.44</v>
      </c>
      <c r="G21" s="20"/>
    </row>
    <row r="22" spans="2:8">
      <c r="B22" s="25" t="s">
        <v>10</v>
      </c>
      <c r="C22" s="20">
        <v>3</v>
      </c>
      <c r="D22" s="20">
        <v>0.36199999999999999</v>
      </c>
      <c r="E22" s="20"/>
      <c r="F22" s="20">
        <v>0.45100000000000001</v>
      </c>
      <c r="G22" s="20"/>
    </row>
    <row r="23" spans="2:8">
      <c r="B23" s="23" t="s">
        <v>11</v>
      </c>
      <c r="C23" s="9">
        <v>1</v>
      </c>
      <c r="D23" s="9">
        <v>0.42499999999999999</v>
      </c>
      <c r="E23" s="9">
        <f>D23</f>
        <v>0.42499999999999999</v>
      </c>
      <c r="F23" s="9">
        <v>0.34499999999999997</v>
      </c>
      <c r="G23" s="19">
        <f>AVERAGE(F23:F24)</f>
        <v>0.35149999999999998</v>
      </c>
    </row>
    <row r="24" spans="2:8">
      <c r="B24" s="23" t="s">
        <v>11</v>
      </c>
      <c r="C24" s="9">
        <v>1</v>
      </c>
      <c r="D24" s="9"/>
      <c r="E24" s="9"/>
      <c r="F24" s="9">
        <v>0.35799999999999998</v>
      </c>
      <c r="G24" s="19"/>
    </row>
    <row r="25" spans="2:8">
      <c r="B25" s="24" t="s">
        <v>12</v>
      </c>
      <c r="C25" s="8">
        <v>1</v>
      </c>
      <c r="D25" s="8">
        <v>0.42399999999999999</v>
      </c>
      <c r="E25" s="8">
        <f>D25</f>
        <v>0.42399999999999999</v>
      </c>
      <c r="F25" s="8">
        <v>0.443</v>
      </c>
      <c r="G25" s="3">
        <f>AVERAGE(F25:F26)</f>
        <v>0.44650000000000001</v>
      </c>
      <c r="H25" s="6"/>
    </row>
    <row r="26" spans="2:8">
      <c r="B26" s="24" t="s">
        <v>12</v>
      </c>
      <c r="C26" s="8">
        <v>1</v>
      </c>
      <c r="D26" s="8"/>
      <c r="E26" s="8"/>
      <c r="F26" s="8">
        <v>0.45</v>
      </c>
      <c r="G26" s="3"/>
      <c r="H26" s="6"/>
    </row>
    <row r="27" spans="2:8">
      <c r="B27" s="23" t="s">
        <v>13</v>
      </c>
      <c r="C27" s="9">
        <v>1</v>
      </c>
      <c r="D27" s="9">
        <v>0.42499999999999999</v>
      </c>
      <c r="E27" s="9">
        <f>D27</f>
        <v>0.42499999999999999</v>
      </c>
      <c r="F27" s="9">
        <v>0.40200000000000002</v>
      </c>
      <c r="G27" s="2">
        <f>AVERAGE(F27:F29)</f>
        <v>0.3833333333333333</v>
      </c>
      <c r="H27" s="6"/>
    </row>
    <row r="28" spans="2:8">
      <c r="B28" s="23" t="s">
        <v>13</v>
      </c>
      <c r="C28" s="9">
        <v>1</v>
      </c>
      <c r="D28" s="9"/>
      <c r="E28" s="9"/>
      <c r="F28" s="9">
        <v>0.39100000000000001</v>
      </c>
      <c r="G28" s="2"/>
      <c r="H28" s="6"/>
    </row>
    <row r="29" spans="2:8">
      <c r="B29" s="23" t="s">
        <v>13</v>
      </c>
      <c r="C29" s="9">
        <v>1</v>
      </c>
      <c r="D29" s="9"/>
      <c r="E29" s="9"/>
      <c r="F29" s="9">
        <v>0.35699999999999998</v>
      </c>
      <c r="G29" s="2"/>
    </row>
    <row r="30" spans="2:8">
      <c r="B30" s="24" t="s">
        <v>14</v>
      </c>
      <c r="C30" s="8">
        <v>1</v>
      </c>
      <c r="D30" s="8">
        <v>0.42799999999999999</v>
      </c>
      <c r="E30" s="8">
        <f>D30</f>
        <v>0.42799999999999999</v>
      </c>
      <c r="F30" s="8">
        <v>0.45100000000000001</v>
      </c>
      <c r="G30" s="3">
        <f>AVERAGE(F30:F32)</f>
        <v>0.45166666666666666</v>
      </c>
    </row>
    <row r="31" spans="2:8">
      <c r="B31" s="24" t="s">
        <v>14</v>
      </c>
      <c r="C31" s="8">
        <v>1</v>
      </c>
      <c r="D31" s="8"/>
      <c r="E31" s="8"/>
      <c r="F31" s="8">
        <v>0.44700000000000001</v>
      </c>
      <c r="G31" s="3"/>
    </row>
    <row r="32" spans="2:8">
      <c r="B32" s="24" t="s">
        <v>14</v>
      </c>
      <c r="C32" s="8">
        <v>1</v>
      </c>
      <c r="D32" s="8"/>
      <c r="E32" s="8"/>
      <c r="F32" s="8">
        <v>0.45700000000000002</v>
      </c>
      <c r="G32" s="3"/>
    </row>
    <row r="33" spans="2:6">
      <c r="B33" s="6"/>
      <c r="C33" s="6"/>
      <c r="D33" s="6"/>
      <c r="E33" s="6"/>
      <c r="F33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tabSelected="1" workbookViewId="0">
      <selection activeCell="AA35" sqref="AA35:AA57"/>
    </sheetView>
  </sheetViews>
  <sheetFormatPr baseColWidth="10" defaultRowHeight="15" x14ac:dyDescent="0"/>
  <cols>
    <col min="3" max="3" width="12.1640625" bestFit="1" customWidth="1"/>
    <col min="14" max="14" width="12.1640625" bestFit="1" customWidth="1"/>
    <col min="29" max="29" width="12.1640625" bestFit="1" customWidth="1"/>
  </cols>
  <sheetData>
    <row r="1" spans="1:21">
      <c r="A1" t="s">
        <v>49</v>
      </c>
    </row>
    <row r="3" spans="1:21">
      <c r="A3" t="s">
        <v>50</v>
      </c>
    </row>
    <row r="4" spans="1:21">
      <c r="A4" s="34" t="s">
        <v>51</v>
      </c>
      <c r="B4" s="34" t="s">
        <v>71</v>
      </c>
      <c r="C4" s="34" t="s">
        <v>52</v>
      </c>
      <c r="D4" t="s">
        <v>53</v>
      </c>
      <c r="F4" s="34"/>
    </row>
    <row r="5" spans="1:21">
      <c r="A5" s="34">
        <v>0</v>
      </c>
      <c r="B5" s="34"/>
      <c r="C5" s="34">
        <v>0</v>
      </c>
      <c r="D5">
        <f t="shared" ref="D5:D13" si="0">SQRT(C5)</f>
        <v>0</v>
      </c>
    </row>
    <row r="6" spans="1:21">
      <c r="A6" s="34">
        <v>75</v>
      </c>
      <c r="B6" s="34">
        <v>1.397</v>
      </c>
      <c r="C6" s="34">
        <v>17114243</v>
      </c>
      <c r="D6">
        <f t="shared" si="0"/>
        <v>4136.9364268743602</v>
      </c>
    </row>
    <row r="7" spans="1:21">
      <c r="A7">
        <v>100</v>
      </c>
      <c r="B7">
        <v>1.411</v>
      </c>
      <c r="C7">
        <v>18039062</v>
      </c>
      <c r="D7">
        <f t="shared" si="0"/>
        <v>4247.2416931462703</v>
      </c>
    </row>
    <row r="8" spans="1:21">
      <c r="A8">
        <v>250</v>
      </c>
      <c r="B8">
        <v>1.353</v>
      </c>
      <c r="C8">
        <v>42052438</v>
      </c>
      <c r="D8">
        <f t="shared" si="0"/>
        <v>6484.7851159464026</v>
      </c>
    </row>
    <row r="9" spans="1:21">
      <c r="A9">
        <v>500</v>
      </c>
      <c r="B9" s="34">
        <v>1.3420000000000001</v>
      </c>
      <c r="C9">
        <v>141677253</v>
      </c>
      <c r="D9">
        <f t="shared" si="0"/>
        <v>11902.82542088222</v>
      </c>
    </row>
    <row r="10" spans="1:21">
      <c r="A10">
        <v>750</v>
      </c>
      <c r="B10" s="34">
        <v>1.3420000000000001</v>
      </c>
      <c r="C10">
        <v>552577783</v>
      </c>
      <c r="D10">
        <f t="shared" si="0"/>
        <v>23506.973071835513</v>
      </c>
      <c r="R10" t="s">
        <v>74</v>
      </c>
      <c r="T10" t="s">
        <v>75</v>
      </c>
    </row>
    <row r="11" spans="1:21">
      <c r="A11">
        <v>1000</v>
      </c>
      <c r="B11" s="34">
        <v>1.423</v>
      </c>
      <c r="C11">
        <v>734393667</v>
      </c>
      <c r="D11">
        <f t="shared" si="0"/>
        <v>27099.698651461054</v>
      </c>
      <c r="Q11" s="33">
        <v>5000</v>
      </c>
      <c r="R11">
        <v>5.6205167538019296</v>
      </c>
      <c r="S11">
        <v>0.36952727364558535</v>
      </c>
      <c r="T11" s="41">
        <v>10.194790534859825</v>
      </c>
      <c r="U11" s="41">
        <v>2.5992446081030098</v>
      </c>
    </row>
    <row r="12" spans="1:21">
      <c r="A12">
        <v>2500</v>
      </c>
      <c r="B12" s="34">
        <v>1.448</v>
      </c>
      <c r="C12">
        <v>10329543328</v>
      </c>
      <c r="D12">
        <f t="shared" si="0"/>
        <v>101634.36096124184</v>
      </c>
      <c r="Q12" s="33">
        <v>12000</v>
      </c>
      <c r="R12">
        <v>3.3050900876062528</v>
      </c>
      <c r="S12">
        <v>0.93166676178405228</v>
      </c>
      <c r="T12">
        <v>6.2433405819837953</v>
      </c>
      <c r="U12">
        <v>1.0349537590241962</v>
      </c>
    </row>
    <row r="13" spans="1:21">
      <c r="A13">
        <v>5000</v>
      </c>
      <c r="B13" s="34">
        <v>1.4359999999999999</v>
      </c>
      <c r="C13">
        <v>19228161723</v>
      </c>
      <c r="D13">
        <f t="shared" si="0"/>
        <v>138665.64723463415</v>
      </c>
      <c r="Q13" s="33">
        <v>30000</v>
      </c>
    </row>
    <row r="14" spans="1:21">
      <c r="Q14" s="33">
        <v>55000</v>
      </c>
      <c r="R14">
        <v>3.2722046369310025</v>
      </c>
      <c r="S14">
        <v>0.18947688675697877</v>
      </c>
      <c r="T14">
        <v>22.808139097015438</v>
      </c>
    </row>
    <row r="15" spans="1:21">
      <c r="Q15" s="33">
        <v>80000</v>
      </c>
      <c r="R15">
        <v>3.6407122924841295</v>
      </c>
      <c r="S15">
        <v>0.16316185049939749</v>
      </c>
      <c r="T15">
        <v>17.218316743978249</v>
      </c>
      <c r="U15">
        <v>0.37904063399703547</v>
      </c>
    </row>
    <row r="16" spans="1:21">
      <c r="A16" t="s">
        <v>54</v>
      </c>
    </row>
    <row r="17" spans="1:22">
      <c r="A17" s="35">
        <v>4.9999999999999997E-12</v>
      </c>
      <c r="B17" s="35"/>
    </row>
    <row r="18" spans="1:22">
      <c r="A18" t="s">
        <v>72</v>
      </c>
      <c r="B18">
        <v>3</v>
      </c>
    </row>
    <row r="21" spans="1:22">
      <c r="A21" s="36" t="s">
        <v>1</v>
      </c>
      <c r="B21" s="36"/>
      <c r="C21" s="37" t="s">
        <v>2</v>
      </c>
      <c r="D21" s="37"/>
      <c r="E21" s="37" t="s">
        <v>18</v>
      </c>
      <c r="F21" s="37" t="s">
        <v>55</v>
      </c>
      <c r="G21" s="37" t="s">
        <v>70</v>
      </c>
      <c r="H21" s="37" t="s">
        <v>52</v>
      </c>
      <c r="I21" s="38" t="s">
        <v>56</v>
      </c>
      <c r="J21" s="38" t="s">
        <v>57</v>
      </c>
      <c r="K21" s="38" t="s">
        <v>58</v>
      </c>
      <c r="L21" s="38" t="s">
        <v>59</v>
      </c>
      <c r="M21" s="38" t="s">
        <v>60</v>
      </c>
      <c r="N21" s="38" t="s">
        <v>61</v>
      </c>
      <c r="O21" s="39" t="s">
        <v>62</v>
      </c>
      <c r="P21" s="39"/>
      <c r="Q21" s="39"/>
      <c r="R21" s="38" t="s">
        <v>63</v>
      </c>
      <c r="S21" s="38" t="s">
        <v>64</v>
      </c>
      <c r="T21" s="38" t="s">
        <v>65</v>
      </c>
      <c r="U21" s="40" t="s">
        <v>66</v>
      </c>
    </row>
    <row r="22" spans="1:22">
      <c r="A22" s="1" t="s">
        <v>23</v>
      </c>
      <c r="B22" s="1"/>
      <c r="C22" s="1" t="s">
        <v>4</v>
      </c>
      <c r="D22" s="1"/>
      <c r="E22" s="1">
        <v>1</v>
      </c>
      <c r="F22" s="15">
        <v>1</v>
      </c>
      <c r="G22" s="15"/>
      <c r="H22" s="15">
        <v>70008635</v>
      </c>
      <c r="I22" s="3">
        <f>SQRT(H22)</f>
        <v>8367.1162893795135</v>
      </c>
      <c r="J22" s="3">
        <f>(0.0323*I22)-9.7969</f>
        <v>260.46095614695832</v>
      </c>
      <c r="K22" s="3">
        <v>0</v>
      </c>
      <c r="L22" s="3">
        <f t="shared" ref="L22:L61" si="1">K22*40</f>
        <v>0</v>
      </c>
      <c r="M22" s="3">
        <f>(J22/1000)*$B$18</f>
        <v>0.7813828684408749</v>
      </c>
      <c r="N22" s="3" t="e">
        <f t="shared" ref="N22:N39" si="2">M22/L22</f>
        <v>#DIV/0!</v>
      </c>
      <c r="O22" s="41" t="e">
        <f t="shared" ref="O22:O39" si="3">N22*1000000</f>
        <v>#DIV/0!</v>
      </c>
      <c r="P22" s="41"/>
      <c r="Q22" s="41"/>
      <c r="R22" s="42">
        <f t="shared" ref="R22:R61" si="4">$A$17*L22</f>
        <v>0</v>
      </c>
      <c r="S22" s="42" t="e">
        <f t="shared" ref="S22:S39" si="5">M22/R22</f>
        <v>#DIV/0!</v>
      </c>
      <c r="T22" s="42" t="e">
        <f t="shared" ref="T22:T39" si="6">S22*1000</f>
        <v>#DIV/0!</v>
      </c>
      <c r="U22" s="43" t="e">
        <f t="shared" ref="U22:U39" si="7">T22/1000000</f>
        <v>#DIV/0!</v>
      </c>
      <c r="V22" s="44"/>
    </row>
    <row r="23" spans="1:22">
      <c r="A23" s="1" t="s">
        <v>23</v>
      </c>
      <c r="B23" s="1"/>
      <c r="C23" s="1" t="s">
        <v>4</v>
      </c>
      <c r="D23" s="1"/>
      <c r="E23" s="1">
        <v>2</v>
      </c>
      <c r="F23" s="15">
        <v>2</v>
      </c>
      <c r="G23" s="15"/>
      <c r="H23" s="15">
        <v>40729951</v>
      </c>
      <c r="I23" s="3">
        <f t="shared" ref="I23:I61" si="8">SQRT(H23)</f>
        <v>6382.0021153239995</v>
      </c>
      <c r="J23" s="3">
        <f t="shared" ref="J23:J61" si="9">(0.0323*I23)-9.7969</f>
        <v>196.34176832496522</v>
      </c>
      <c r="K23" s="3">
        <v>0</v>
      </c>
      <c r="L23" s="3">
        <f t="shared" si="1"/>
        <v>0</v>
      </c>
      <c r="M23" s="3">
        <f t="shared" ref="M23:M61" si="10">(J23/1000)*$B$18</f>
        <v>0.58902530497489569</v>
      </c>
      <c r="N23" s="3" t="e">
        <f t="shared" si="2"/>
        <v>#DIV/0!</v>
      </c>
      <c r="O23" s="41" t="e">
        <f t="shared" si="3"/>
        <v>#DIV/0!</v>
      </c>
      <c r="P23" s="41"/>
      <c r="Q23" s="41"/>
      <c r="R23" s="42">
        <f t="shared" si="4"/>
        <v>0</v>
      </c>
      <c r="S23" s="42" t="e">
        <f t="shared" si="5"/>
        <v>#DIV/0!</v>
      </c>
      <c r="T23" s="42" t="e">
        <f t="shared" si="6"/>
        <v>#DIV/0!</v>
      </c>
      <c r="U23" s="43" t="e">
        <f t="shared" si="7"/>
        <v>#DIV/0!</v>
      </c>
      <c r="V23" s="44"/>
    </row>
    <row r="24" spans="1:22">
      <c r="A24" s="1" t="s">
        <v>23</v>
      </c>
      <c r="B24" s="1"/>
      <c r="C24" s="1" t="s">
        <v>4</v>
      </c>
      <c r="D24" s="1"/>
      <c r="E24" s="1">
        <v>3</v>
      </c>
      <c r="F24" s="15">
        <v>3</v>
      </c>
      <c r="G24" s="15"/>
      <c r="H24" s="15">
        <v>69992338</v>
      </c>
      <c r="I24" s="3">
        <f t="shared" si="8"/>
        <v>8366.1423607299439</v>
      </c>
      <c r="J24" s="3">
        <f t="shared" si="9"/>
        <v>260.42949825157723</v>
      </c>
      <c r="K24" s="3">
        <v>0</v>
      </c>
      <c r="L24" s="3">
        <f t="shared" si="1"/>
        <v>0</v>
      </c>
      <c r="M24" s="3">
        <f t="shared" si="10"/>
        <v>0.78128849475473172</v>
      </c>
      <c r="N24" s="3" t="e">
        <f t="shared" si="2"/>
        <v>#DIV/0!</v>
      </c>
      <c r="O24" s="41" t="e">
        <f t="shared" si="3"/>
        <v>#DIV/0!</v>
      </c>
      <c r="P24" s="41"/>
      <c r="Q24" s="41"/>
      <c r="R24" s="42">
        <f t="shared" si="4"/>
        <v>0</v>
      </c>
      <c r="S24" s="42" t="e">
        <f t="shared" si="5"/>
        <v>#DIV/0!</v>
      </c>
      <c r="T24" s="42" t="e">
        <f t="shared" si="6"/>
        <v>#DIV/0!</v>
      </c>
      <c r="U24" s="43" t="e">
        <f t="shared" si="7"/>
        <v>#DIV/0!</v>
      </c>
      <c r="V24" s="44"/>
    </row>
    <row r="25" spans="1:22">
      <c r="A25" s="11" t="s">
        <v>23</v>
      </c>
      <c r="B25" s="11"/>
      <c r="C25" s="11" t="s">
        <v>67</v>
      </c>
      <c r="D25" s="11"/>
      <c r="E25" s="11">
        <v>1</v>
      </c>
      <c r="F25" s="45">
        <v>4</v>
      </c>
      <c r="G25" s="45">
        <v>1.466</v>
      </c>
      <c r="H25" s="45">
        <v>2587833874</v>
      </c>
      <c r="I25" s="3">
        <f t="shared" si="8"/>
        <v>50870.756569958736</v>
      </c>
      <c r="J25" s="3">
        <f t="shared" si="9"/>
        <v>1633.3285372096673</v>
      </c>
      <c r="K25" s="3">
        <v>23033</v>
      </c>
      <c r="L25" s="10">
        <f t="shared" si="1"/>
        <v>921320</v>
      </c>
      <c r="M25" s="3">
        <f t="shared" si="10"/>
        <v>4.8999856116290017</v>
      </c>
      <c r="N25" s="10">
        <f t="shared" si="2"/>
        <v>5.318440511037426E-6</v>
      </c>
      <c r="O25" s="41">
        <f t="shared" si="3"/>
        <v>5.3184405110374264</v>
      </c>
      <c r="P25" s="41">
        <f>AVERAGE(O25:O27)</f>
        <v>8.8481871311624385</v>
      </c>
      <c r="Q25" s="41">
        <f>STDEV(O25:O27)</f>
        <v>3.246823843453865</v>
      </c>
      <c r="R25" s="46">
        <f t="shared" si="4"/>
        <v>4.6066000000000001E-6</v>
      </c>
      <c r="S25" s="46">
        <f t="shared" si="5"/>
        <v>1063688.1022074854</v>
      </c>
      <c r="T25" s="46">
        <f t="shared" si="6"/>
        <v>1063688102.2074853</v>
      </c>
      <c r="U25" s="43">
        <f>T25*(1*10^-6)</f>
        <v>1063.6881022074854</v>
      </c>
      <c r="V25" s="12"/>
    </row>
    <row r="26" spans="1:22">
      <c r="A26" s="11" t="s">
        <v>23</v>
      </c>
      <c r="B26" s="11"/>
      <c r="C26" s="11" t="s">
        <v>67</v>
      </c>
      <c r="D26" s="11"/>
      <c r="E26" s="11">
        <v>2</v>
      </c>
      <c r="F26" s="45">
        <v>5</v>
      </c>
      <c r="G26" s="45">
        <v>1.425</v>
      </c>
      <c r="H26" s="45">
        <v>12106417216</v>
      </c>
      <c r="I26" s="3">
        <f t="shared" si="8"/>
        <v>110029.16529720653</v>
      </c>
      <c r="J26" s="3">
        <f t="shared" si="9"/>
        <v>3544.1451390997713</v>
      </c>
      <c r="K26" s="3">
        <v>27925</v>
      </c>
      <c r="L26" s="10">
        <f t="shared" si="1"/>
        <v>1117000</v>
      </c>
      <c r="M26" s="3">
        <f t="shared" si="10"/>
        <v>10.632435417299313</v>
      </c>
      <c r="N26" s="10">
        <f t="shared" si="2"/>
        <v>9.5187425401068157E-6</v>
      </c>
      <c r="O26" s="41">
        <f t="shared" si="3"/>
        <v>9.5187425401068158</v>
      </c>
      <c r="P26" s="41"/>
      <c r="Q26" s="41"/>
      <c r="R26" s="46">
        <f t="shared" si="4"/>
        <v>5.5849999999999999E-6</v>
      </c>
      <c r="S26" s="46">
        <f t="shared" si="5"/>
        <v>1903748.5080213631</v>
      </c>
      <c r="T26" s="46">
        <f t="shared" si="6"/>
        <v>1903748508.021363</v>
      </c>
      <c r="U26" s="43">
        <f t="shared" si="7"/>
        <v>1903.748508021363</v>
      </c>
      <c r="V26" s="12"/>
    </row>
    <row r="27" spans="1:22">
      <c r="A27" s="11" t="s">
        <v>23</v>
      </c>
      <c r="B27" s="11"/>
      <c r="C27" s="11" t="s">
        <v>67</v>
      </c>
      <c r="D27" s="11"/>
      <c r="E27" s="11">
        <v>3</v>
      </c>
      <c r="F27" s="45">
        <v>6</v>
      </c>
      <c r="G27" s="45"/>
      <c r="H27" s="45">
        <v>16950371246</v>
      </c>
      <c r="I27" s="3">
        <f t="shared" si="8"/>
        <v>130193.5914167821</v>
      </c>
      <c r="J27" s="3">
        <f t="shared" si="9"/>
        <v>4195.4561027620621</v>
      </c>
      <c r="K27" s="3">
        <v>26877</v>
      </c>
      <c r="L27" s="10">
        <f t="shared" si="1"/>
        <v>1075080</v>
      </c>
      <c r="M27" s="3">
        <f t="shared" si="10"/>
        <v>12.586368308286186</v>
      </c>
      <c r="N27" s="10">
        <f t="shared" si="2"/>
        <v>1.1707378342343069E-5</v>
      </c>
      <c r="O27" s="41">
        <f t="shared" si="3"/>
        <v>11.70737834234307</v>
      </c>
      <c r="P27" s="41"/>
      <c r="Q27" s="41"/>
      <c r="R27" s="46">
        <f t="shared" si="4"/>
        <v>5.3753999999999994E-6</v>
      </c>
      <c r="S27" s="46">
        <f t="shared" si="5"/>
        <v>2341475.6684686141</v>
      </c>
      <c r="T27" s="46">
        <f t="shared" si="6"/>
        <v>2341475668.4686141</v>
      </c>
      <c r="U27" s="58">
        <f>T27/1000000</f>
        <v>2341.475668468614</v>
      </c>
      <c r="V27" s="12"/>
    </row>
    <row r="28" spans="1:22">
      <c r="A28" s="1" t="s">
        <v>23</v>
      </c>
      <c r="B28" s="1"/>
      <c r="C28" s="1" t="s">
        <v>68</v>
      </c>
      <c r="D28" s="1"/>
      <c r="E28" s="1">
        <v>1</v>
      </c>
      <c r="F28" s="15">
        <v>7</v>
      </c>
      <c r="G28" s="15"/>
      <c r="H28" s="15" t="s">
        <v>73</v>
      </c>
      <c r="I28" s="3" t="e">
        <f t="shared" si="8"/>
        <v>#VALUE!</v>
      </c>
      <c r="J28" s="3" t="e">
        <f t="shared" si="9"/>
        <v>#VALUE!</v>
      </c>
      <c r="K28" s="3">
        <v>0</v>
      </c>
      <c r="L28" s="3">
        <f t="shared" si="1"/>
        <v>0</v>
      </c>
      <c r="M28" s="3" t="e">
        <f t="shared" si="10"/>
        <v>#VALUE!</v>
      </c>
      <c r="N28" s="3" t="e">
        <f t="shared" si="2"/>
        <v>#VALUE!</v>
      </c>
      <c r="O28" s="41" t="e">
        <f t="shared" si="3"/>
        <v>#VALUE!</v>
      </c>
      <c r="P28" s="41"/>
      <c r="Q28" s="41"/>
      <c r="R28" s="42">
        <f t="shared" si="4"/>
        <v>0</v>
      </c>
      <c r="S28" s="42" t="e">
        <f t="shared" si="5"/>
        <v>#VALUE!</v>
      </c>
      <c r="T28" s="42" t="e">
        <f t="shared" si="6"/>
        <v>#VALUE!</v>
      </c>
      <c r="U28" s="43" t="e">
        <f t="shared" si="7"/>
        <v>#VALUE!</v>
      </c>
      <c r="V28" s="44"/>
    </row>
    <row r="29" spans="1:22">
      <c r="A29" s="1" t="s">
        <v>23</v>
      </c>
      <c r="B29" s="1"/>
      <c r="C29" s="1" t="s">
        <v>68</v>
      </c>
      <c r="D29" s="1"/>
      <c r="E29" s="1">
        <v>2</v>
      </c>
      <c r="F29" s="15">
        <v>8</v>
      </c>
      <c r="G29" s="15"/>
      <c r="H29" s="15" t="s">
        <v>73</v>
      </c>
      <c r="I29" s="3" t="e">
        <f t="shared" si="8"/>
        <v>#VALUE!</v>
      </c>
      <c r="J29" s="3" t="e">
        <f t="shared" si="9"/>
        <v>#VALUE!</v>
      </c>
      <c r="K29" s="3">
        <v>0</v>
      </c>
      <c r="L29" s="3">
        <f t="shared" si="1"/>
        <v>0</v>
      </c>
      <c r="M29" s="3" t="e">
        <f t="shared" si="10"/>
        <v>#VALUE!</v>
      </c>
      <c r="N29" s="3" t="e">
        <f t="shared" si="2"/>
        <v>#VALUE!</v>
      </c>
      <c r="O29" s="41" t="e">
        <f t="shared" si="3"/>
        <v>#VALUE!</v>
      </c>
      <c r="P29" s="41"/>
      <c r="Q29" s="41"/>
      <c r="R29" s="42">
        <f t="shared" si="4"/>
        <v>0</v>
      </c>
      <c r="S29" s="42" t="e">
        <f t="shared" si="5"/>
        <v>#VALUE!</v>
      </c>
      <c r="T29" s="42" t="e">
        <f t="shared" si="6"/>
        <v>#VALUE!</v>
      </c>
      <c r="U29" s="43" t="e">
        <f t="shared" si="7"/>
        <v>#VALUE!</v>
      </c>
      <c r="V29" s="44"/>
    </row>
    <row r="30" spans="1:22">
      <c r="A30" s="1" t="s">
        <v>23</v>
      </c>
      <c r="B30" s="1"/>
      <c r="C30" s="1" t="s">
        <v>68</v>
      </c>
      <c r="D30" s="1"/>
      <c r="E30" s="1">
        <v>3</v>
      </c>
      <c r="F30" s="15">
        <v>9</v>
      </c>
      <c r="G30" s="15"/>
      <c r="H30" s="15" t="s">
        <v>73</v>
      </c>
      <c r="I30" s="3" t="e">
        <f t="shared" si="8"/>
        <v>#VALUE!</v>
      </c>
      <c r="J30" s="3" t="e">
        <f t="shared" si="9"/>
        <v>#VALUE!</v>
      </c>
      <c r="K30" s="3">
        <v>0</v>
      </c>
      <c r="L30" s="3">
        <f t="shared" si="1"/>
        <v>0</v>
      </c>
      <c r="M30" s="3" t="e">
        <f t="shared" si="10"/>
        <v>#VALUE!</v>
      </c>
      <c r="N30" s="3" t="e">
        <f t="shared" si="2"/>
        <v>#VALUE!</v>
      </c>
      <c r="O30" s="41" t="e">
        <f t="shared" si="3"/>
        <v>#VALUE!</v>
      </c>
      <c r="P30" s="41"/>
      <c r="Q30" s="41"/>
      <c r="R30" s="42">
        <f t="shared" si="4"/>
        <v>0</v>
      </c>
      <c r="S30" s="42" t="e">
        <f t="shared" si="5"/>
        <v>#VALUE!</v>
      </c>
      <c r="T30" s="42" t="e">
        <f t="shared" si="6"/>
        <v>#VALUE!</v>
      </c>
      <c r="U30" s="43" t="e">
        <f t="shared" si="7"/>
        <v>#VALUE!</v>
      </c>
      <c r="V30" s="44"/>
    </row>
    <row r="31" spans="1:22" ht="16" thickBot="1">
      <c r="A31" s="47" t="s">
        <v>23</v>
      </c>
      <c r="B31" s="47"/>
      <c r="C31" s="47" t="s">
        <v>69</v>
      </c>
      <c r="D31" s="47"/>
      <c r="E31" s="47">
        <v>1</v>
      </c>
      <c r="F31" s="48">
        <v>10</v>
      </c>
      <c r="G31" s="48"/>
      <c r="H31" s="48">
        <v>2679649</v>
      </c>
      <c r="I31" s="3">
        <f t="shared" si="8"/>
        <v>1636.9633471767168</v>
      </c>
      <c r="J31" s="3">
        <f t="shared" si="9"/>
        <v>43.077016113807957</v>
      </c>
      <c r="K31" s="49">
        <v>0</v>
      </c>
      <c r="L31" s="49">
        <f t="shared" si="1"/>
        <v>0</v>
      </c>
      <c r="M31" s="3">
        <f t="shared" si="10"/>
        <v>0.12923104834142388</v>
      </c>
      <c r="N31" s="49" t="e">
        <f t="shared" si="2"/>
        <v>#DIV/0!</v>
      </c>
      <c r="O31" s="50" t="e">
        <f t="shared" si="3"/>
        <v>#DIV/0!</v>
      </c>
      <c r="P31" s="50"/>
      <c r="Q31" s="50"/>
      <c r="R31" s="51">
        <f t="shared" si="4"/>
        <v>0</v>
      </c>
      <c r="S31" s="51" t="e">
        <f t="shared" si="5"/>
        <v>#DIV/0!</v>
      </c>
      <c r="T31" s="51" t="e">
        <f t="shared" si="6"/>
        <v>#DIV/0!</v>
      </c>
      <c r="U31" s="52" t="e">
        <f t="shared" si="7"/>
        <v>#DIV/0!</v>
      </c>
      <c r="V31" s="12"/>
    </row>
    <row r="32" spans="1:22" ht="16" thickTop="1">
      <c r="A32" s="53" t="s">
        <v>24</v>
      </c>
      <c r="B32" s="53"/>
      <c r="C32" s="53" t="s">
        <v>4</v>
      </c>
      <c r="D32" s="53"/>
      <c r="E32" s="53">
        <v>1</v>
      </c>
      <c r="F32" s="14">
        <v>11</v>
      </c>
      <c r="G32" s="14"/>
      <c r="H32" s="14">
        <v>7476019</v>
      </c>
      <c r="I32" s="3">
        <f t="shared" si="8"/>
        <v>2734.2309704924346</v>
      </c>
      <c r="J32" s="3">
        <f t="shared" si="9"/>
        <v>78.518760346905651</v>
      </c>
      <c r="K32" s="54">
        <v>0</v>
      </c>
      <c r="L32" s="54">
        <f t="shared" si="1"/>
        <v>0</v>
      </c>
      <c r="M32" s="3">
        <f t="shared" si="10"/>
        <v>0.23555628104071696</v>
      </c>
      <c r="N32" s="54" t="e">
        <f t="shared" si="2"/>
        <v>#DIV/0!</v>
      </c>
      <c r="O32" s="55" t="e">
        <f t="shared" si="3"/>
        <v>#DIV/0!</v>
      </c>
      <c r="P32" s="55"/>
      <c r="Q32" s="55"/>
      <c r="R32" s="56">
        <f t="shared" si="4"/>
        <v>0</v>
      </c>
      <c r="S32" s="56" t="e">
        <f t="shared" si="5"/>
        <v>#DIV/0!</v>
      </c>
      <c r="T32" s="56" t="e">
        <f t="shared" si="6"/>
        <v>#DIV/0!</v>
      </c>
      <c r="U32" s="57" t="e">
        <f t="shared" si="7"/>
        <v>#DIV/0!</v>
      </c>
      <c r="V32" s="44"/>
    </row>
    <row r="33" spans="1:34">
      <c r="A33" s="1" t="s">
        <v>24</v>
      </c>
      <c r="B33" s="1"/>
      <c r="C33" s="1" t="s">
        <v>4</v>
      </c>
      <c r="D33" s="1"/>
      <c r="E33" s="1">
        <v>2</v>
      </c>
      <c r="F33" s="15">
        <v>12</v>
      </c>
      <c r="G33" s="15"/>
      <c r="H33" s="15">
        <v>9307495</v>
      </c>
      <c r="I33" s="3">
        <f t="shared" si="8"/>
        <v>3050.8187425673127</v>
      </c>
      <c r="J33" s="3">
        <f t="shared" si="9"/>
        <v>88.744545384924209</v>
      </c>
      <c r="K33" s="3">
        <v>0</v>
      </c>
      <c r="L33" s="3">
        <f t="shared" si="1"/>
        <v>0</v>
      </c>
      <c r="M33" s="3">
        <f t="shared" si="10"/>
        <v>0.26623363615477263</v>
      </c>
      <c r="N33" s="3" t="e">
        <f t="shared" si="2"/>
        <v>#DIV/0!</v>
      </c>
      <c r="O33" s="41" t="e">
        <f t="shared" si="3"/>
        <v>#DIV/0!</v>
      </c>
      <c r="P33" s="41"/>
      <c r="Q33" s="41"/>
      <c r="R33" s="42">
        <f t="shared" si="4"/>
        <v>0</v>
      </c>
      <c r="S33" s="42" t="e">
        <f t="shared" si="5"/>
        <v>#DIV/0!</v>
      </c>
      <c r="T33" s="42" t="e">
        <f t="shared" si="6"/>
        <v>#DIV/0!</v>
      </c>
      <c r="U33" s="43" t="e">
        <f t="shared" si="7"/>
        <v>#DIV/0!</v>
      </c>
      <c r="V33" s="44"/>
    </row>
    <row r="34" spans="1:34">
      <c r="A34" s="1" t="s">
        <v>24</v>
      </c>
      <c r="B34" s="1"/>
      <c r="C34" s="1" t="s">
        <v>4</v>
      </c>
      <c r="D34" s="1"/>
      <c r="E34" s="1">
        <v>3</v>
      </c>
      <c r="F34" s="15">
        <v>13</v>
      </c>
      <c r="G34" s="15"/>
      <c r="H34" s="15">
        <v>5789356</v>
      </c>
      <c r="I34" s="3">
        <f t="shared" si="8"/>
        <v>2406.108060748727</v>
      </c>
      <c r="J34" s="3">
        <f t="shared" si="9"/>
        <v>67.920390362183895</v>
      </c>
      <c r="K34" s="3">
        <v>0</v>
      </c>
      <c r="L34" s="3">
        <f t="shared" si="1"/>
        <v>0</v>
      </c>
      <c r="M34" s="3">
        <f t="shared" si="10"/>
        <v>0.20376117108655167</v>
      </c>
      <c r="N34" s="3" t="e">
        <f t="shared" si="2"/>
        <v>#DIV/0!</v>
      </c>
      <c r="O34" s="41" t="e">
        <f t="shared" si="3"/>
        <v>#DIV/0!</v>
      </c>
      <c r="P34" s="41"/>
      <c r="Q34" s="41"/>
      <c r="R34" s="42">
        <f t="shared" si="4"/>
        <v>0</v>
      </c>
      <c r="S34" s="42" t="e">
        <f t="shared" si="5"/>
        <v>#DIV/0!</v>
      </c>
      <c r="T34" s="42" t="e">
        <f t="shared" si="6"/>
        <v>#DIV/0!</v>
      </c>
      <c r="U34" s="43" t="e">
        <f t="shared" si="7"/>
        <v>#DIV/0!</v>
      </c>
      <c r="V34" s="44"/>
    </row>
    <row r="35" spans="1:34">
      <c r="A35" s="11" t="s">
        <v>24</v>
      </c>
      <c r="B35" s="11"/>
      <c r="C35" s="11" t="s">
        <v>5</v>
      </c>
      <c r="D35" s="11"/>
      <c r="E35" s="11">
        <v>1</v>
      </c>
      <c r="F35" s="45">
        <v>14</v>
      </c>
      <c r="G35" s="45"/>
      <c r="H35" s="45">
        <v>163640523</v>
      </c>
      <c r="I35" s="3">
        <f t="shared" si="8"/>
        <v>12792.205556509793</v>
      </c>
      <c r="J35" s="3">
        <f t="shared" si="9"/>
        <v>403.39133947526636</v>
      </c>
      <c r="K35" s="10">
        <v>2326</v>
      </c>
      <c r="L35" s="10">
        <f t="shared" si="1"/>
        <v>93040</v>
      </c>
      <c r="M35" s="3">
        <f t="shared" si="10"/>
        <v>1.210174018425799</v>
      </c>
      <c r="N35" s="10">
        <f t="shared" si="2"/>
        <v>1.3007029432779438E-5</v>
      </c>
      <c r="O35" s="41">
        <f t="shared" si="3"/>
        <v>13.007029432779438</v>
      </c>
      <c r="P35" s="41">
        <f>AVERAGE(O35:O37)</f>
        <v>10.194790534859825</v>
      </c>
      <c r="Q35" s="41">
        <f>STDEV(O35:O37)</f>
        <v>2.5992446081030098</v>
      </c>
      <c r="R35" s="46">
        <f t="shared" si="4"/>
        <v>4.6519999999999996E-7</v>
      </c>
      <c r="S35" s="46">
        <f t="shared" si="5"/>
        <v>2601405.8865558878</v>
      </c>
      <c r="T35" s="46">
        <f t="shared" si="6"/>
        <v>2601405886.5558877</v>
      </c>
      <c r="U35" s="43">
        <f t="shared" si="7"/>
        <v>2601.4058865558877</v>
      </c>
      <c r="V35" s="12"/>
      <c r="W35">
        <f>O35-O38</f>
        <v>7.0693354043383794</v>
      </c>
      <c r="X35" s="13">
        <v>0.65000915406536497</v>
      </c>
      <c r="Z35">
        <v>383</v>
      </c>
      <c r="AA35">
        <f>Z35*40</f>
        <v>15320</v>
      </c>
      <c r="AB35">
        <f>AA35+L35</f>
        <v>108360</v>
      </c>
      <c r="AC35">
        <f>M35/AB35</f>
        <v>1.11680880253396E-5</v>
      </c>
      <c r="AD35">
        <f>AC35*1000000</f>
        <v>11.1680880253396</v>
      </c>
      <c r="AE35">
        <f>AVERAGE(AD35:AD37)</f>
        <v>8.8235565454152383</v>
      </c>
      <c r="AF35">
        <f>STDEV(AD35:AD37)</f>
        <v>2.2324841775544892</v>
      </c>
      <c r="AH35">
        <f>AD35-O38</f>
        <v>5.2303939968985409</v>
      </c>
    </row>
    <row r="36" spans="1:34">
      <c r="A36" s="11" t="s">
        <v>24</v>
      </c>
      <c r="B36" s="11"/>
      <c r="C36" s="11" t="s">
        <v>5</v>
      </c>
      <c r="D36" s="11"/>
      <c r="E36" s="11">
        <v>2</v>
      </c>
      <c r="F36" s="45">
        <v>15</v>
      </c>
      <c r="G36" s="45"/>
      <c r="H36" s="45">
        <v>52119552</v>
      </c>
      <c r="I36" s="3">
        <f t="shared" si="8"/>
        <v>7219.3872316146053</v>
      </c>
      <c r="J36" s="3">
        <f t="shared" si="9"/>
        <v>223.38930758115177</v>
      </c>
      <c r="K36" s="10">
        <v>2126</v>
      </c>
      <c r="L36" s="10">
        <f t="shared" si="1"/>
        <v>85040</v>
      </c>
      <c r="M36" s="3">
        <f t="shared" si="10"/>
        <v>0.67016792274345538</v>
      </c>
      <c r="N36" s="10">
        <f t="shared" si="2"/>
        <v>7.8806199758167385E-6</v>
      </c>
      <c r="O36" s="41">
        <f t="shared" si="3"/>
        <v>7.8806199758167388</v>
      </c>
      <c r="P36" s="41"/>
      <c r="Q36" s="41"/>
      <c r="R36" s="46">
        <f t="shared" si="4"/>
        <v>4.2519999999999997E-7</v>
      </c>
      <c r="S36" s="46">
        <f t="shared" si="5"/>
        <v>1576123.9951633476</v>
      </c>
      <c r="T36" s="46">
        <f t="shared" si="6"/>
        <v>1576123995.1633475</v>
      </c>
      <c r="U36" s="43">
        <f t="shared" si="7"/>
        <v>1576.1239951633474</v>
      </c>
      <c r="V36" s="12"/>
      <c r="W36">
        <f>O36-O39</f>
        <v>2.6658746627558703</v>
      </c>
      <c r="X36" s="13">
        <v>0.65189673352661481</v>
      </c>
      <c r="Z36">
        <v>366</v>
      </c>
      <c r="AA36">
        <f t="shared" ref="AA36:AA57" si="11">Z36*40</f>
        <v>14640</v>
      </c>
      <c r="AB36">
        <f t="shared" ref="AB36:AB57" si="12">AA36+L36</f>
        <v>99680</v>
      </c>
      <c r="AC36">
        <f t="shared" ref="AC36:AC57" si="13">M36/AB36</f>
        <v>6.723193446463236E-6</v>
      </c>
      <c r="AD36">
        <f t="shared" ref="AD36:AD57" si="14">AC36*1000000</f>
        <v>6.7231934464632364</v>
      </c>
      <c r="AH36">
        <f>AD36-O39</f>
        <v>1.5084481334023678</v>
      </c>
    </row>
    <row r="37" spans="1:34">
      <c r="A37" s="11" t="s">
        <v>24</v>
      </c>
      <c r="B37" s="11"/>
      <c r="C37" s="11" t="s">
        <v>5</v>
      </c>
      <c r="D37" s="11"/>
      <c r="E37" s="11">
        <v>3</v>
      </c>
      <c r="F37" s="45">
        <v>16</v>
      </c>
      <c r="G37" s="45"/>
      <c r="H37" s="45">
        <v>81024112</v>
      </c>
      <c r="I37" s="3">
        <f t="shared" si="8"/>
        <v>9001.339455880996</v>
      </c>
      <c r="J37" s="3">
        <f t="shared" si="9"/>
        <v>280.94636442495619</v>
      </c>
      <c r="K37" s="10">
        <v>2173</v>
      </c>
      <c r="L37" s="10">
        <f t="shared" si="1"/>
        <v>86920</v>
      </c>
      <c r="M37" s="3">
        <f t="shared" si="10"/>
        <v>0.84283909327486861</v>
      </c>
      <c r="N37" s="10">
        <f t="shared" si="2"/>
        <v>9.6967221959833019E-6</v>
      </c>
      <c r="O37" s="41">
        <f t="shared" si="3"/>
        <v>9.6967221959833019</v>
      </c>
      <c r="P37" s="41"/>
      <c r="Q37" s="41"/>
      <c r="R37" s="46">
        <f t="shared" si="4"/>
        <v>4.3459999999999999E-7</v>
      </c>
      <c r="S37" s="46">
        <f t="shared" si="5"/>
        <v>1939344.4391966604</v>
      </c>
      <c r="T37" s="46">
        <f t="shared" si="6"/>
        <v>1939344439.1966605</v>
      </c>
      <c r="U37" s="43">
        <f t="shared" si="7"/>
        <v>1939.3444391966605</v>
      </c>
      <c r="V37" s="12"/>
      <c r="W37">
        <f>O37-O40</f>
        <v>3.9876112760794413</v>
      </c>
      <c r="X37" s="13">
        <v>0.59818984165302325</v>
      </c>
      <c r="Z37">
        <v>283</v>
      </c>
      <c r="AA37">
        <f t="shared" si="11"/>
        <v>11320</v>
      </c>
      <c r="AB37">
        <f t="shared" si="12"/>
        <v>98240</v>
      </c>
      <c r="AC37">
        <f t="shared" si="13"/>
        <v>8.5793881644428816E-6</v>
      </c>
      <c r="AD37">
        <f t="shared" si="14"/>
        <v>8.5793881644428822</v>
      </c>
      <c r="AH37">
        <f>AD37-O40</f>
        <v>2.8702772445390217</v>
      </c>
    </row>
    <row r="38" spans="1:34">
      <c r="A38" s="1" t="s">
        <v>24</v>
      </c>
      <c r="B38" s="1"/>
      <c r="C38" s="1" t="s">
        <v>6</v>
      </c>
      <c r="D38" s="1"/>
      <c r="E38" s="1">
        <v>1</v>
      </c>
      <c r="F38" s="15">
        <v>17</v>
      </c>
      <c r="G38" s="15"/>
      <c r="H38" s="15">
        <v>337820014</v>
      </c>
      <c r="I38" s="3">
        <f t="shared" si="8"/>
        <v>18379.880685140477</v>
      </c>
      <c r="J38" s="3">
        <f t="shared" si="9"/>
        <v>583.87324613003739</v>
      </c>
      <c r="K38" s="3">
        <v>7375</v>
      </c>
      <c r="L38" s="3">
        <f t="shared" si="1"/>
        <v>295000</v>
      </c>
      <c r="M38" s="3">
        <f t="shared" si="10"/>
        <v>1.7516197383901124</v>
      </c>
      <c r="N38" s="3">
        <f t="shared" si="2"/>
        <v>5.9376940284410592E-6</v>
      </c>
      <c r="O38" s="41">
        <f t="shared" si="3"/>
        <v>5.9376940284410589</v>
      </c>
      <c r="P38" s="41"/>
      <c r="Q38" s="41"/>
      <c r="R38" s="42">
        <f t="shared" si="4"/>
        <v>1.4749999999999999E-6</v>
      </c>
      <c r="S38" s="42">
        <f t="shared" si="5"/>
        <v>1187538.8056882119</v>
      </c>
      <c r="T38" s="42">
        <f t="shared" si="6"/>
        <v>1187538805.6882119</v>
      </c>
      <c r="U38" s="43">
        <f t="shared" si="7"/>
        <v>1187.5388056882118</v>
      </c>
      <c r="V38" s="44"/>
      <c r="X38" s="33"/>
      <c r="AA38">
        <f t="shared" si="11"/>
        <v>0</v>
      </c>
      <c r="AC38" t="e">
        <f t="shared" si="13"/>
        <v>#DIV/0!</v>
      </c>
      <c r="AD38" t="e">
        <f t="shared" si="14"/>
        <v>#DIV/0!</v>
      </c>
    </row>
    <row r="39" spans="1:34">
      <c r="A39" s="1" t="s">
        <v>24</v>
      </c>
      <c r="B39" s="1"/>
      <c r="C39" s="1" t="s">
        <v>6</v>
      </c>
      <c r="D39" s="1"/>
      <c r="E39" s="1">
        <v>2</v>
      </c>
      <c r="F39" s="15">
        <v>18</v>
      </c>
      <c r="G39" s="15"/>
      <c r="H39" s="15">
        <v>204974444</v>
      </c>
      <c r="I39" s="3">
        <f t="shared" si="8"/>
        <v>14316.928581228587</v>
      </c>
      <c r="J39" s="3">
        <f t="shared" si="9"/>
        <v>452.63989317368339</v>
      </c>
      <c r="K39" s="3">
        <v>6510</v>
      </c>
      <c r="L39" s="3">
        <f t="shared" si="1"/>
        <v>260400</v>
      </c>
      <c r="M39" s="3">
        <f t="shared" si="10"/>
        <v>1.3579196795210502</v>
      </c>
      <c r="N39" s="3">
        <f t="shared" si="2"/>
        <v>5.2147453130608684E-6</v>
      </c>
      <c r="O39" s="41">
        <f t="shared" si="3"/>
        <v>5.2147453130608685</v>
      </c>
      <c r="P39" s="41">
        <f>AVERAGE(O38:O40)</f>
        <v>5.6205167538019296</v>
      </c>
      <c r="Q39" s="41">
        <f>STDEV(O38:O40)</f>
        <v>0.36952727364558535</v>
      </c>
      <c r="R39" s="42">
        <f t="shared" si="4"/>
        <v>1.302E-6</v>
      </c>
      <c r="S39" s="42">
        <f t="shared" si="5"/>
        <v>1042949.0626121737</v>
      </c>
      <c r="T39" s="42">
        <f t="shared" si="6"/>
        <v>1042949062.6121737</v>
      </c>
      <c r="U39" s="43">
        <f t="shared" si="7"/>
        <v>1042.9490626121737</v>
      </c>
      <c r="V39" s="44"/>
      <c r="X39" s="33"/>
      <c r="AA39">
        <f t="shared" si="11"/>
        <v>0</v>
      </c>
      <c r="AC39" t="e">
        <f t="shared" si="13"/>
        <v>#DIV/0!</v>
      </c>
      <c r="AD39" t="e">
        <f t="shared" si="14"/>
        <v>#DIV/0!</v>
      </c>
    </row>
    <row r="40" spans="1:34">
      <c r="A40" s="1" t="s">
        <v>24</v>
      </c>
      <c r="B40" s="1"/>
      <c r="C40" s="1" t="s">
        <v>6</v>
      </c>
      <c r="D40" s="1"/>
      <c r="E40" s="1">
        <v>3</v>
      </c>
      <c r="F40" s="15">
        <v>19</v>
      </c>
      <c r="G40" s="15"/>
      <c r="H40" s="15">
        <v>198927253</v>
      </c>
      <c r="I40" s="3">
        <f t="shared" si="8"/>
        <v>14104.157294925493</v>
      </c>
      <c r="J40" s="3">
        <f t="shared" si="9"/>
        <v>445.76738062609348</v>
      </c>
      <c r="K40" s="3">
        <v>5856</v>
      </c>
      <c r="L40" s="3">
        <f>K40*40</f>
        <v>234240</v>
      </c>
      <c r="M40" s="3">
        <f t="shared" si="10"/>
        <v>1.3373021418782804</v>
      </c>
      <c r="N40" s="3">
        <f>M40/L40</f>
        <v>5.7091109199038608E-6</v>
      </c>
      <c r="O40" s="41">
        <f>N40*1000000</f>
        <v>5.7091109199038605</v>
      </c>
      <c r="P40" s="41"/>
      <c r="Q40" s="41"/>
      <c r="R40" s="42">
        <f t="shared" si="4"/>
        <v>1.1711999999999999E-6</v>
      </c>
      <c r="S40" s="42">
        <f>M40/R40</f>
        <v>1141822.1839807723</v>
      </c>
      <c r="T40" s="42">
        <f>S40*1000</f>
        <v>1141822183.9807723</v>
      </c>
      <c r="U40" s="43">
        <f>T40/1000000</f>
        <v>1141.8221839807723</v>
      </c>
      <c r="V40" s="44"/>
      <c r="X40" s="33"/>
      <c r="AA40">
        <f t="shared" si="11"/>
        <v>0</v>
      </c>
      <c r="AC40" t="e">
        <f t="shared" si="13"/>
        <v>#DIV/0!</v>
      </c>
      <c r="AD40" t="e">
        <f t="shared" si="14"/>
        <v>#DIV/0!</v>
      </c>
    </row>
    <row r="41" spans="1:34">
      <c r="A41" s="11" t="s">
        <v>24</v>
      </c>
      <c r="B41" s="11"/>
      <c r="C41" s="11" t="s">
        <v>7</v>
      </c>
      <c r="D41" s="11"/>
      <c r="E41" s="11">
        <v>1</v>
      </c>
      <c r="F41" s="45">
        <v>20</v>
      </c>
      <c r="G41" s="45"/>
      <c r="H41" s="45">
        <v>104722030</v>
      </c>
      <c r="I41" s="3">
        <f t="shared" si="8"/>
        <v>10233.378230086095</v>
      </c>
      <c r="J41" s="3">
        <f t="shared" si="9"/>
        <v>320.74121683178089</v>
      </c>
      <c r="K41" s="10">
        <v>3853</v>
      </c>
      <c r="L41" s="10">
        <f t="shared" si="1"/>
        <v>154120</v>
      </c>
      <c r="M41" s="3">
        <f t="shared" si="10"/>
        <v>0.96222365049534253</v>
      </c>
      <c r="N41" s="10">
        <f t="shared" ref="N41:N61" si="15">M41/L41</f>
        <v>6.2433405819837955E-6</v>
      </c>
      <c r="O41" s="41">
        <f t="shared" ref="O41:O61" si="16">N41*1000000</f>
        <v>6.2433405819837953</v>
      </c>
      <c r="P41" s="41">
        <f>AVERAGE(O41)</f>
        <v>6.2433405819837953</v>
      </c>
      <c r="Q41" s="41">
        <f>STDEV(O41:O42)</f>
        <v>1.0349537590241962</v>
      </c>
      <c r="R41" s="46">
        <f t="shared" si="4"/>
        <v>7.7059999999999998E-7</v>
      </c>
      <c r="S41" s="46">
        <f t="shared" ref="S41:S61" si="17">M41/R41</f>
        <v>1248668.1163967592</v>
      </c>
      <c r="T41" s="46">
        <f t="shared" ref="T41:T61" si="18">S41*1000</f>
        <v>1248668116.3967593</v>
      </c>
      <c r="U41" s="43">
        <f t="shared" ref="U41:U61" si="19">T41/1000000</f>
        <v>1248.6681163967592</v>
      </c>
      <c r="V41" s="12"/>
      <c r="W41">
        <f>O41-O43</f>
        <v>2.2794626093139265</v>
      </c>
      <c r="X41" s="13">
        <v>0.84256943327842115</v>
      </c>
      <c r="Z41">
        <v>528</v>
      </c>
      <c r="AA41">
        <f t="shared" si="11"/>
        <v>21120</v>
      </c>
      <c r="AB41">
        <f t="shared" si="12"/>
        <v>175240</v>
      </c>
      <c r="AC41">
        <f t="shared" si="13"/>
        <v>5.4908904958647717E-6</v>
      </c>
      <c r="AD41">
        <f t="shared" si="14"/>
        <v>5.4908904958647717</v>
      </c>
      <c r="AE41">
        <f>AVERAGE(AD41:AD42)</f>
        <v>6.0605878724638425</v>
      </c>
      <c r="AF41">
        <f>STDEV(AD41:AD42)</f>
        <v>0.80567375643477857</v>
      </c>
      <c r="AH41">
        <f>AD41-O43</f>
        <v>1.527012523194903</v>
      </c>
    </row>
    <row r="42" spans="1:34">
      <c r="A42" s="11" t="s">
        <v>24</v>
      </c>
      <c r="B42" s="11"/>
      <c r="C42" s="11" t="s">
        <v>7</v>
      </c>
      <c r="D42" s="11"/>
      <c r="E42" s="11">
        <v>2</v>
      </c>
      <c r="F42" s="45">
        <v>21</v>
      </c>
      <c r="G42" s="45"/>
      <c r="H42" s="45">
        <v>234397952</v>
      </c>
      <c r="I42" s="3">
        <f t="shared" si="8"/>
        <v>15310.060483224748</v>
      </c>
      <c r="J42" s="3">
        <f t="shared" si="9"/>
        <v>484.71805360815938</v>
      </c>
      <c r="K42" s="10">
        <v>4717</v>
      </c>
      <c r="L42" s="10">
        <f t="shared" si="1"/>
        <v>188680</v>
      </c>
      <c r="M42" s="3">
        <f t="shared" si="10"/>
        <v>1.4541541608244781</v>
      </c>
      <c r="N42" s="10">
        <f t="shared" si="15"/>
        <v>7.7069862244248362E-6</v>
      </c>
      <c r="O42" s="41">
        <f t="shared" si="16"/>
        <v>7.7069862244248366</v>
      </c>
      <c r="P42" s="41"/>
      <c r="Q42" s="41"/>
      <c r="R42" s="46">
        <f t="shared" si="4"/>
        <v>9.4339999999999994E-7</v>
      </c>
      <c r="S42" s="46">
        <f t="shared" si="17"/>
        <v>1541397.2448849673</v>
      </c>
      <c r="T42" s="46">
        <f t="shared" si="18"/>
        <v>1541397244.8849673</v>
      </c>
      <c r="U42" s="43">
        <f t="shared" si="19"/>
        <v>1541.3972448849672</v>
      </c>
      <c r="V42" s="12"/>
      <c r="W42">
        <f>O42-O44</f>
        <v>5.0606840218822002</v>
      </c>
      <c r="X42" s="13">
        <v>0.74073262105838444</v>
      </c>
      <c r="Z42">
        <v>766</v>
      </c>
      <c r="AA42">
        <f t="shared" si="11"/>
        <v>30640</v>
      </c>
      <c r="AB42">
        <f t="shared" si="12"/>
        <v>219320</v>
      </c>
      <c r="AC42">
        <f t="shared" si="13"/>
        <v>6.6302852490629134E-6</v>
      </c>
      <c r="AD42">
        <f t="shared" si="14"/>
        <v>6.6302852490629132</v>
      </c>
      <c r="AH42">
        <f>AD42-O44</f>
        <v>3.9839830465202768</v>
      </c>
    </row>
    <row r="43" spans="1:34">
      <c r="A43" s="1" t="s">
        <v>24</v>
      </c>
      <c r="B43" s="1"/>
      <c r="C43" s="1" t="s">
        <v>8</v>
      </c>
      <c r="D43" s="1"/>
      <c r="E43" s="1">
        <v>1</v>
      </c>
      <c r="F43" s="15">
        <v>22</v>
      </c>
      <c r="G43" s="15"/>
      <c r="H43" s="15">
        <v>870309818</v>
      </c>
      <c r="I43" s="3">
        <f t="shared" si="8"/>
        <v>29501.013846984988</v>
      </c>
      <c r="J43" s="3">
        <f t="shared" si="9"/>
        <v>943.08584725761511</v>
      </c>
      <c r="K43" s="3">
        <v>17844</v>
      </c>
      <c r="L43" s="3">
        <f t="shared" si="1"/>
        <v>713760</v>
      </c>
      <c r="M43" s="3">
        <f t="shared" si="10"/>
        <v>2.8292575417728454</v>
      </c>
      <c r="N43" s="3">
        <f t="shared" si="15"/>
        <v>3.9638779726698688E-6</v>
      </c>
      <c r="O43" s="41">
        <f t="shared" si="16"/>
        <v>3.9638779726698687</v>
      </c>
      <c r="P43" s="41">
        <f>AVERAGE(O43:O44)</f>
        <v>3.3050900876062528</v>
      </c>
      <c r="Q43" s="41">
        <f>STDEV(O43:O44)</f>
        <v>0.93166676178405228</v>
      </c>
      <c r="R43" s="42">
        <f t="shared" si="4"/>
        <v>3.5687999999999996E-6</v>
      </c>
      <c r="S43" s="42">
        <f t="shared" si="17"/>
        <v>792775.59453397384</v>
      </c>
      <c r="T43" s="42">
        <f t="shared" si="18"/>
        <v>792775594.53397381</v>
      </c>
      <c r="U43" s="43">
        <f t="shared" si="19"/>
        <v>792.77559453397384</v>
      </c>
      <c r="V43" s="44"/>
      <c r="X43" s="33"/>
      <c r="AA43">
        <f t="shared" si="11"/>
        <v>0</v>
      </c>
      <c r="AC43" t="e">
        <f t="shared" si="13"/>
        <v>#DIV/0!</v>
      </c>
      <c r="AD43" t="e">
        <f t="shared" si="14"/>
        <v>#DIV/0!</v>
      </c>
    </row>
    <row r="44" spans="1:34">
      <c r="A44" s="1" t="s">
        <v>24</v>
      </c>
      <c r="B44" s="1"/>
      <c r="C44" s="1" t="s">
        <v>8</v>
      </c>
      <c r="D44" s="1"/>
      <c r="E44" s="1">
        <v>2</v>
      </c>
      <c r="F44" s="15">
        <v>23</v>
      </c>
      <c r="G44" s="15"/>
      <c r="H44" s="15">
        <v>415978191</v>
      </c>
      <c r="I44" s="3">
        <f t="shared" si="8"/>
        <v>20395.543410264901</v>
      </c>
      <c r="J44" s="3">
        <f t="shared" si="9"/>
        <v>648.97915215155626</v>
      </c>
      <c r="K44" s="3">
        <v>18393</v>
      </c>
      <c r="L44" s="3">
        <f t="shared" si="1"/>
        <v>735720</v>
      </c>
      <c r="M44" s="3">
        <f t="shared" si="10"/>
        <v>1.9469374564546686</v>
      </c>
      <c r="N44" s="3">
        <f t="shared" si="15"/>
        <v>2.6463022025426365E-6</v>
      </c>
      <c r="O44" s="41">
        <f t="shared" si="16"/>
        <v>2.6463022025426364</v>
      </c>
      <c r="P44" s="41"/>
      <c r="Q44" s="41"/>
      <c r="R44" s="42">
        <f t="shared" si="4"/>
        <v>3.6785999999999998E-6</v>
      </c>
      <c r="S44" s="42">
        <f t="shared" si="17"/>
        <v>529260.44050852733</v>
      </c>
      <c r="T44" s="42">
        <f t="shared" si="18"/>
        <v>529260440.50852734</v>
      </c>
      <c r="U44" s="43">
        <f t="shared" si="19"/>
        <v>529.26044050852738</v>
      </c>
      <c r="V44" s="44"/>
      <c r="X44" s="33"/>
      <c r="AA44">
        <f t="shared" si="11"/>
        <v>0</v>
      </c>
      <c r="AC44" t="e">
        <f t="shared" si="13"/>
        <v>#DIV/0!</v>
      </c>
      <c r="AD44" t="e">
        <f t="shared" si="14"/>
        <v>#DIV/0!</v>
      </c>
    </row>
    <row r="45" spans="1:34">
      <c r="A45" s="11" t="s">
        <v>24</v>
      </c>
      <c r="B45" s="11"/>
      <c r="C45" s="11" t="s">
        <v>9</v>
      </c>
      <c r="D45" s="11"/>
      <c r="E45" s="11">
        <v>1</v>
      </c>
      <c r="F45" s="45">
        <v>24</v>
      </c>
      <c r="G45" s="45"/>
      <c r="H45" s="45" t="s">
        <v>73</v>
      </c>
      <c r="I45" s="3" t="e">
        <f t="shared" si="8"/>
        <v>#VALUE!</v>
      </c>
      <c r="J45" s="3" t="e">
        <f t="shared" si="9"/>
        <v>#VALUE!</v>
      </c>
      <c r="K45" s="10">
        <v>0</v>
      </c>
      <c r="L45" s="10">
        <f t="shared" ref="L45:L60" si="20">K45*40</f>
        <v>0</v>
      </c>
      <c r="M45" s="3" t="e">
        <f t="shared" si="10"/>
        <v>#VALUE!</v>
      </c>
      <c r="N45" s="10" t="e">
        <f t="shared" si="15"/>
        <v>#VALUE!</v>
      </c>
      <c r="O45" s="41" t="e">
        <f t="shared" si="16"/>
        <v>#VALUE!</v>
      </c>
      <c r="P45" s="41"/>
      <c r="Q45" s="41"/>
      <c r="R45" s="46">
        <f t="shared" si="4"/>
        <v>0</v>
      </c>
      <c r="S45" s="46" t="e">
        <f t="shared" si="17"/>
        <v>#VALUE!</v>
      </c>
      <c r="T45" s="46" t="e">
        <f t="shared" si="18"/>
        <v>#VALUE!</v>
      </c>
      <c r="U45" s="43" t="e">
        <f t="shared" si="19"/>
        <v>#VALUE!</v>
      </c>
      <c r="V45" s="12"/>
      <c r="X45" s="33"/>
      <c r="AA45">
        <f t="shared" si="11"/>
        <v>0</v>
      </c>
      <c r="AC45" t="e">
        <f t="shared" si="13"/>
        <v>#VALUE!</v>
      </c>
      <c r="AD45" t="e">
        <f t="shared" si="14"/>
        <v>#VALUE!</v>
      </c>
    </row>
    <row r="46" spans="1:34">
      <c r="A46" s="11" t="s">
        <v>24</v>
      </c>
      <c r="B46" s="11"/>
      <c r="C46" s="11" t="s">
        <v>9</v>
      </c>
      <c r="D46" s="11"/>
      <c r="E46" s="11">
        <v>2</v>
      </c>
      <c r="F46" s="45">
        <v>25</v>
      </c>
      <c r="G46" s="45"/>
      <c r="H46" s="45" t="s">
        <v>73</v>
      </c>
      <c r="I46" s="3" t="e">
        <f t="shared" si="8"/>
        <v>#VALUE!</v>
      </c>
      <c r="J46" s="3" t="e">
        <f t="shared" si="9"/>
        <v>#VALUE!</v>
      </c>
      <c r="K46" s="10">
        <v>0</v>
      </c>
      <c r="L46" s="10">
        <f t="shared" si="20"/>
        <v>0</v>
      </c>
      <c r="M46" s="3" t="e">
        <f t="shared" si="10"/>
        <v>#VALUE!</v>
      </c>
      <c r="N46" s="10" t="e">
        <f t="shared" si="15"/>
        <v>#VALUE!</v>
      </c>
      <c r="O46" s="41" t="e">
        <f t="shared" si="16"/>
        <v>#VALUE!</v>
      </c>
      <c r="P46" s="41"/>
      <c r="Q46" s="41"/>
      <c r="R46" s="46">
        <f t="shared" si="4"/>
        <v>0</v>
      </c>
      <c r="S46" s="46" t="e">
        <f t="shared" si="17"/>
        <v>#VALUE!</v>
      </c>
      <c r="T46" s="46" t="e">
        <f t="shared" si="18"/>
        <v>#VALUE!</v>
      </c>
      <c r="U46" s="43" t="e">
        <f t="shared" si="19"/>
        <v>#VALUE!</v>
      </c>
      <c r="V46" s="12"/>
      <c r="X46" s="33"/>
      <c r="AA46">
        <f t="shared" si="11"/>
        <v>0</v>
      </c>
      <c r="AC46" t="e">
        <f t="shared" si="13"/>
        <v>#VALUE!</v>
      </c>
      <c r="AD46" t="e">
        <f t="shared" si="14"/>
        <v>#VALUE!</v>
      </c>
    </row>
    <row r="47" spans="1:34">
      <c r="A47" s="11" t="s">
        <v>24</v>
      </c>
      <c r="B47" s="11"/>
      <c r="C47" s="11" t="s">
        <v>9</v>
      </c>
      <c r="D47" s="11"/>
      <c r="E47" s="11">
        <v>3</v>
      </c>
      <c r="F47" s="45">
        <v>26</v>
      </c>
      <c r="G47" s="45"/>
      <c r="H47" s="45" t="s">
        <v>73</v>
      </c>
      <c r="I47" s="3" t="e">
        <f t="shared" si="8"/>
        <v>#VALUE!</v>
      </c>
      <c r="J47" s="3" t="e">
        <f t="shared" si="9"/>
        <v>#VALUE!</v>
      </c>
      <c r="K47" s="10">
        <v>0</v>
      </c>
      <c r="L47" s="10">
        <f t="shared" si="20"/>
        <v>0</v>
      </c>
      <c r="M47" s="3" t="e">
        <f t="shared" si="10"/>
        <v>#VALUE!</v>
      </c>
      <c r="N47" s="10" t="e">
        <f t="shared" si="15"/>
        <v>#VALUE!</v>
      </c>
      <c r="O47" s="41" t="e">
        <f t="shared" si="16"/>
        <v>#VALUE!</v>
      </c>
      <c r="P47" s="41"/>
      <c r="Q47" s="41"/>
      <c r="R47" s="46">
        <f t="shared" si="4"/>
        <v>0</v>
      </c>
      <c r="S47" s="46" t="e">
        <f t="shared" si="17"/>
        <v>#VALUE!</v>
      </c>
      <c r="T47" s="46" t="e">
        <f t="shared" si="18"/>
        <v>#VALUE!</v>
      </c>
      <c r="U47" s="43" t="e">
        <f t="shared" si="19"/>
        <v>#VALUE!</v>
      </c>
      <c r="V47" s="12"/>
      <c r="X47" s="33"/>
      <c r="AA47">
        <f t="shared" si="11"/>
        <v>0</v>
      </c>
      <c r="AC47" t="e">
        <f t="shared" si="13"/>
        <v>#VALUE!</v>
      </c>
      <c r="AD47" t="e">
        <f t="shared" si="14"/>
        <v>#VALUE!</v>
      </c>
    </row>
    <row r="48" spans="1:34">
      <c r="A48" s="1" t="s">
        <v>24</v>
      </c>
      <c r="B48" s="1"/>
      <c r="C48" s="1" t="s">
        <v>10</v>
      </c>
      <c r="D48" s="1"/>
      <c r="E48" s="1">
        <v>1</v>
      </c>
      <c r="F48" s="15">
        <v>27</v>
      </c>
      <c r="G48" s="15"/>
      <c r="H48" s="15" t="s">
        <v>73</v>
      </c>
      <c r="I48" s="3" t="e">
        <f t="shared" si="8"/>
        <v>#VALUE!</v>
      </c>
      <c r="J48" s="3" t="e">
        <f t="shared" si="9"/>
        <v>#VALUE!</v>
      </c>
      <c r="K48" s="3">
        <v>51609</v>
      </c>
      <c r="L48" s="3">
        <f t="shared" si="20"/>
        <v>2064360</v>
      </c>
      <c r="M48" s="3" t="e">
        <f t="shared" si="10"/>
        <v>#VALUE!</v>
      </c>
      <c r="N48" s="3" t="e">
        <f t="shared" si="15"/>
        <v>#VALUE!</v>
      </c>
      <c r="O48" s="41" t="e">
        <f t="shared" si="16"/>
        <v>#VALUE!</v>
      </c>
      <c r="P48" s="41"/>
      <c r="Q48" s="41"/>
      <c r="R48" s="42">
        <f t="shared" si="4"/>
        <v>1.03218E-5</v>
      </c>
      <c r="S48" s="42" t="e">
        <f t="shared" si="17"/>
        <v>#VALUE!</v>
      </c>
      <c r="T48" s="42" t="e">
        <f t="shared" si="18"/>
        <v>#VALUE!</v>
      </c>
      <c r="U48" s="43" t="e">
        <f t="shared" si="19"/>
        <v>#VALUE!</v>
      </c>
      <c r="V48" s="44"/>
      <c r="X48" s="33"/>
      <c r="AA48">
        <f t="shared" si="11"/>
        <v>0</v>
      </c>
      <c r="AC48" t="e">
        <f t="shared" si="13"/>
        <v>#VALUE!</v>
      </c>
      <c r="AD48" t="e">
        <f t="shared" si="14"/>
        <v>#VALUE!</v>
      </c>
    </row>
    <row r="49" spans="1:34">
      <c r="A49" s="1" t="s">
        <v>24</v>
      </c>
      <c r="B49" s="1"/>
      <c r="C49" s="1" t="s">
        <v>10</v>
      </c>
      <c r="D49" s="1"/>
      <c r="E49" s="1">
        <v>2</v>
      </c>
      <c r="F49" s="15">
        <v>28</v>
      </c>
      <c r="G49" s="15"/>
      <c r="H49" s="15" t="s">
        <v>73</v>
      </c>
      <c r="I49" s="3" t="e">
        <f t="shared" si="8"/>
        <v>#VALUE!</v>
      </c>
      <c r="J49" s="3" t="e">
        <f t="shared" si="9"/>
        <v>#VALUE!</v>
      </c>
      <c r="K49" s="3">
        <v>52086</v>
      </c>
      <c r="L49" s="3">
        <f t="shared" si="20"/>
        <v>2083440</v>
      </c>
      <c r="M49" s="3" t="e">
        <f t="shared" si="10"/>
        <v>#VALUE!</v>
      </c>
      <c r="N49" s="3" t="e">
        <f t="shared" si="15"/>
        <v>#VALUE!</v>
      </c>
      <c r="O49" s="41" t="e">
        <f t="shared" si="16"/>
        <v>#VALUE!</v>
      </c>
      <c r="P49" s="41"/>
      <c r="Q49" s="41"/>
      <c r="R49" s="42">
        <f t="shared" si="4"/>
        <v>1.0417199999999999E-5</v>
      </c>
      <c r="S49" s="42" t="e">
        <f t="shared" si="17"/>
        <v>#VALUE!</v>
      </c>
      <c r="T49" s="42" t="e">
        <f t="shared" si="18"/>
        <v>#VALUE!</v>
      </c>
      <c r="U49" s="43" t="e">
        <f t="shared" si="19"/>
        <v>#VALUE!</v>
      </c>
      <c r="V49" s="44"/>
      <c r="X49" s="33"/>
      <c r="AA49">
        <f t="shared" si="11"/>
        <v>0</v>
      </c>
      <c r="AC49" t="e">
        <f t="shared" si="13"/>
        <v>#VALUE!</v>
      </c>
      <c r="AD49" t="e">
        <f t="shared" si="14"/>
        <v>#VALUE!</v>
      </c>
    </row>
    <row r="50" spans="1:34">
      <c r="A50" s="1" t="s">
        <v>24</v>
      </c>
      <c r="B50" s="1"/>
      <c r="C50" s="1" t="s">
        <v>10</v>
      </c>
      <c r="D50" s="1"/>
      <c r="E50" s="1">
        <v>3</v>
      </c>
      <c r="F50" s="15">
        <v>29</v>
      </c>
      <c r="G50" s="15"/>
      <c r="H50" s="15" t="s">
        <v>73</v>
      </c>
      <c r="I50" s="3" t="e">
        <f t="shared" si="8"/>
        <v>#VALUE!</v>
      </c>
      <c r="J50" s="3" t="e">
        <f t="shared" si="9"/>
        <v>#VALUE!</v>
      </c>
      <c r="K50" s="3">
        <v>50585</v>
      </c>
      <c r="L50" s="3">
        <f t="shared" si="20"/>
        <v>2023400</v>
      </c>
      <c r="M50" s="3" t="e">
        <f t="shared" si="10"/>
        <v>#VALUE!</v>
      </c>
      <c r="N50" s="3" t="e">
        <f t="shared" si="15"/>
        <v>#VALUE!</v>
      </c>
      <c r="O50" s="41" t="e">
        <f t="shared" si="16"/>
        <v>#VALUE!</v>
      </c>
      <c r="P50" s="41"/>
      <c r="Q50" s="41"/>
      <c r="R50" s="42">
        <f t="shared" si="4"/>
        <v>1.0117E-5</v>
      </c>
      <c r="S50" s="42" t="e">
        <f t="shared" si="17"/>
        <v>#VALUE!</v>
      </c>
      <c r="T50" s="42" t="e">
        <f t="shared" si="18"/>
        <v>#VALUE!</v>
      </c>
      <c r="U50" s="43" t="e">
        <f t="shared" si="19"/>
        <v>#VALUE!</v>
      </c>
      <c r="V50" s="44"/>
      <c r="X50" s="33"/>
      <c r="AA50">
        <f t="shared" si="11"/>
        <v>0</v>
      </c>
      <c r="AC50" t="e">
        <f t="shared" si="13"/>
        <v>#VALUE!</v>
      </c>
      <c r="AD50" t="e">
        <f t="shared" si="14"/>
        <v>#VALUE!</v>
      </c>
    </row>
    <row r="51" spans="1:34">
      <c r="A51" s="11" t="s">
        <v>24</v>
      </c>
      <c r="B51" s="11"/>
      <c r="C51" s="11" t="s">
        <v>11</v>
      </c>
      <c r="D51" s="11"/>
      <c r="E51" s="11">
        <v>1</v>
      </c>
      <c r="F51" s="45">
        <v>30</v>
      </c>
      <c r="G51" s="45"/>
      <c r="H51" s="45">
        <v>17694028961</v>
      </c>
      <c r="I51" s="3">
        <f t="shared" si="8"/>
        <v>133018.90452488323</v>
      </c>
      <c r="J51" s="3">
        <f t="shared" si="9"/>
        <v>4286.7137161537285</v>
      </c>
      <c r="K51" s="10">
        <v>14096</v>
      </c>
      <c r="L51" s="10">
        <f t="shared" si="20"/>
        <v>563840</v>
      </c>
      <c r="M51" s="3">
        <f t="shared" si="10"/>
        <v>12.860141148461185</v>
      </c>
      <c r="N51" s="10">
        <f t="shared" si="15"/>
        <v>2.280813909701544E-5</v>
      </c>
      <c r="O51" s="41">
        <f t="shared" si="16"/>
        <v>22.808139097015438</v>
      </c>
      <c r="P51" s="41">
        <f>O51</f>
        <v>22.808139097015438</v>
      </c>
      <c r="Q51" s="41"/>
      <c r="R51" s="46">
        <f t="shared" si="4"/>
        <v>2.8191999999999996E-6</v>
      </c>
      <c r="S51" s="46">
        <f t="shared" si="17"/>
        <v>4561627.8194030887</v>
      </c>
      <c r="T51" s="46">
        <f t="shared" si="18"/>
        <v>4561627819.4030886</v>
      </c>
      <c r="U51" s="43">
        <f t="shared" si="19"/>
        <v>4561.6278194030883</v>
      </c>
      <c r="V51" s="12"/>
      <c r="W51">
        <f>O51-O53</f>
        <v>19.401954068580459</v>
      </c>
      <c r="X51" s="33">
        <v>1.0188034144681686</v>
      </c>
      <c r="Z51">
        <v>1633</v>
      </c>
      <c r="AA51">
        <f t="shared" si="11"/>
        <v>65320</v>
      </c>
      <c r="AB51">
        <f t="shared" si="12"/>
        <v>629160</v>
      </c>
      <c r="AC51">
        <f t="shared" si="13"/>
        <v>2.0440176025909442E-5</v>
      </c>
      <c r="AD51">
        <f t="shared" si="14"/>
        <v>20.440176025909441</v>
      </c>
      <c r="AE51">
        <f>AVERAGE(AD51)</f>
        <v>20.440176025909441</v>
      </c>
      <c r="AF51">
        <v>0</v>
      </c>
      <c r="AH51">
        <f>AE51-O53</f>
        <v>17.033990997474461</v>
      </c>
    </row>
    <row r="52" spans="1:34">
      <c r="A52" s="11" t="s">
        <v>24</v>
      </c>
      <c r="B52" s="11"/>
      <c r="C52" s="11" t="s">
        <v>11</v>
      </c>
      <c r="D52" s="11"/>
      <c r="E52" s="11">
        <v>2</v>
      </c>
      <c r="F52" s="45">
        <v>31</v>
      </c>
      <c r="G52" s="45"/>
      <c r="H52" s="45" t="s">
        <v>73</v>
      </c>
      <c r="I52" s="3" t="e">
        <f t="shared" si="8"/>
        <v>#VALUE!</v>
      </c>
      <c r="J52" s="3" t="e">
        <f t="shared" si="9"/>
        <v>#VALUE!</v>
      </c>
      <c r="K52" s="10">
        <v>13506</v>
      </c>
      <c r="L52" s="10">
        <f t="shared" si="20"/>
        <v>540240</v>
      </c>
      <c r="M52" s="3" t="e">
        <f t="shared" si="10"/>
        <v>#VALUE!</v>
      </c>
      <c r="N52" s="10" t="e">
        <f t="shared" si="15"/>
        <v>#VALUE!</v>
      </c>
      <c r="O52" s="41" t="e">
        <f t="shared" si="16"/>
        <v>#VALUE!</v>
      </c>
      <c r="P52" s="41"/>
      <c r="Q52" s="41"/>
      <c r="R52" s="46">
        <f t="shared" si="4"/>
        <v>2.7011999999999997E-6</v>
      </c>
      <c r="S52" s="46" t="e">
        <f t="shared" si="17"/>
        <v>#VALUE!</v>
      </c>
      <c r="T52" s="46" t="e">
        <f t="shared" si="18"/>
        <v>#VALUE!</v>
      </c>
      <c r="U52" s="43" t="e">
        <f t="shared" si="19"/>
        <v>#VALUE!</v>
      </c>
      <c r="V52" s="12"/>
      <c r="X52" s="33"/>
      <c r="Z52">
        <v>1350</v>
      </c>
      <c r="AA52">
        <f t="shared" si="11"/>
        <v>54000</v>
      </c>
      <c r="AB52">
        <f t="shared" si="12"/>
        <v>594240</v>
      </c>
      <c r="AC52" t="e">
        <f t="shared" si="13"/>
        <v>#VALUE!</v>
      </c>
      <c r="AD52" t="e">
        <f t="shared" si="14"/>
        <v>#VALUE!</v>
      </c>
      <c r="AH52">
        <f>AE51-O54</f>
        <v>17.301951780482412</v>
      </c>
    </row>
    <row r="53" spans="1:34">
      <c r="A53" s="1" t="s">
        <v>24</v>
      </c>
      <c r="B53" s="1"/>
      <c r="C53" s="1" t="s">
        <v>12</v>
      </c>
      <c r="D53" s="1"/>
      <c r="E53" s="1">
        <v>1</v>
      </c>
      <c r="F53" s="15">
        <v>32</v>
      </c>
      <c r="G53" s="15"/>
      <c r="H53" s="15">
        <v>18521123522</v>
      </c>
      <c r="I53" s="3">
        <f t="shared" si="8"/>
        <v>136092.33454533727</v>
      </c>
      <c r="J53" s="3">
        <f t="shared" si="9"/>
        <v>4385.9855058143939</v>
      </c>
      <c r="K53" s="3">
        <v>96574</v>
      </c>
      <c r="L53" s="3">
        <f t="shared" si="20"/>
        <v>3862960</v>
      </c>
      <c r="M53" s="3">
        <f t="shared" si="10"/>
        <v>13.157956517443182</v>
      </c>
      <c r="N53" s="3">
        <f t="shared" si="15"/>
        <v>3.4061850284349777E-6</v>
      </c>
      <c r="O53" s="41">
        <f t="shared" si="16"/>
        <v>3.4061850284349777</v>
      </c>
      <c r="P53" s="41">
        <f>AVERAGE(O53:O54)</f>
        <v>3.2722046369310025</v>
      </c>
      <c r="Q53" s="41">
        <f>STDEV(O53:O54)</f>
        <v>0.18947688675697877</v>
      </c>
      <c r="R53" s="42">
        <f t="shared" si="4"/>
        <v>1.93148E-5</v>
      </c>
      <c r="S53" s="42">
        <f t="shared" si="17"/>
        <v>681237.00568699557</v>
      </c>
      <c r="T53" s="42">
        <f t="shared" si="18"/>
        <v>681237005.68699563</v>
      </c>
      <c r="U53" s="43">
        <f t="shared" si="19"/>
        <v>681.23700568699564</v>
      </c>
      <c r="V53" s="44"/>
      <c r="X53" s="33"/>
      <c r="AA53">
        <f t="shared" si="11"/>
        <v>0</v>
      </c>
      <c r="AC53" t="e">
        <f t="shared" si="13"/>
        <v>#DIV/0!</v>
      </c>
      <c r="AD53" t="e">
        <f t="shared" si="14"/>
        <v>#DIV/0!</v>
      </c>
    </row>
    <row r="54" spans="1:34">
      <c r="A54" s="1" t="s">
        <v>24</v>
      </c>
      <c r="B54" s="1"/>
      <c r="C54" s="1" t="s">
        <v>12</v>
      </c>
      <c r="D54" s="1"/>
      <c r="E54" s="1">
        <v>2</v>
      </c>
      <c r="F54" s="15">
        <v>33</v>
      </c>
      <c r="G54" s="15"/>
      <c r="H54" s="15">
        <v>18063461200</v>
      </c>
      <c r="I54" s="3">
        <f t="shared" si="8"/>
        <v>134400.37648756793</v>
      </c>
      <c r="J54" s="3">
        <f t="shared" si="9"/>
        <v>4331.3352605484442</v>
      </c>
      <c r="K54" s="3">
        <v>103514</v>
      </c>
      <c r="L54" s="3">
        <f t="shared" si="20"/>
        <v>4140560</v>
      </c>
      <c r="M54" s="3">
        <f t="shared" si="10"/>
        <v>12.994005781645333</v>
      </c>
      <c r="N54" s="3">
        <f t="shared" si="15"/>
        <v>3.1382242454270275E-6</v>
      </c>
      <c r="O54" s="41">
        <f t="shared" si="16"/>
        <v>3.1382242454270273</v>
      </c>
      <c r="P54" s="41"/>
      <c r="Q54" s="41"/>
      <c r="R54" s="42">
        <f t="shared" si="4"/>
        <v>2.0702799999999998E-5</v>
      </c>
      <c r="S54" s="42">
        <f t="shared" si="17"/>
        <v>627644.84908540559</v>
      </c>
      <c r="T54" s="42">
        <f t="shared" si="18"/>
        <v>627644849.08540559</v>
      </c>
      <c r="U54" s="43">
        <f t="shared" si="19"/>
        <v>627.64484908540555</v>
      </c>
      <c r="V54" s="44"/>
      <c r="X54" s="33"/>
      <c r="AA54">
        <f t="shared" si="11"/>
        <v>0</v>
      </c>
      <c r="AC54" t="e">
        <f t="shared" si="13"/>
        <v>#DIV/0!</v>
      </c>
      <c r="AD54" t="e">
        <f t="shared" si="14"/>
        <v>#DIV/0!</v>
      </c>
    </row>
    <row r="55" spans="1:34">
      <c r="A55" s="11" t="s">
        <v>24</v>
      </c>
      <c r="B55" s="11"/>
      <c r="C55" s="11" t="s">
        <v>13</v>
      </c>
      <c r="D55" s="11"/>
      <c r="E55" s="11">
        <v>1</v>
      </c>
      <c r="F55" s="45">
        <v>34</v>
      </c>
      <c r="G55" s="45"/>
      <c r="H55" s="45">
        <v>26297985208</v>
      </c>
      <c r="I55" s="3">
        <f t="shared" si="8"/>
        <v>162166.53541344465</v>
      </c>
      <c r="J55" s="3">
        <f t="shared" si="9"/>
        <v>5228.1821938542626</v>
      </c>
      <c r="K55" s="10">
        <v>22424</v>
      </c>
      <c r="L55" s="10">
        <f t="shared" si="20"/>
        <v>896960</v>
      </c>
      <c r="M55" s="3">
        <f t="shared" si="10"/>
        <v>15.684546581562788</v>
      </c>
      <c r="N55" s="10">
        <f t="shared" si="15"/>
        <v>1.7486338946622802E-5</v>
      </c>
      <c r="O55" s="41">
        <f t="shared" si="16"/>
        <v>17.486338946622801</v>
      </c>
      <c r="P55" s="41">
        <f>AVERAGE(O55:O56)</f>
        <v>17.218316743978249</v>
      </c>
      <c r="Q55" s="41">
        <f>STDEV(O55:O56)</f>
        <v>0.37904063399703547</v>
      </c>
      <c r="R55" s="46">
        <f t="shared" si="4"/>
        <v>4.4847999999999998E-6</v>
      </c>
      <c r="S55" s="46">
        <f t="shared" si="17"/>
        <v>3497267.7893245607</v>
      </c>
      <c r="T55" s="46">
        <f t="shared" si="18"/>
        <v>3497267789.3245606</v>
      </c>
      <c r="U55" s="43">
        <f t="shared" si="19"/>
        <v>3497.2677893245605</v>
      </c>
      <c r="V55" s="12"/>
      <c r="W55">
        <f>O55-O58</f>
        <v>13.83072401322095</v>
      </c>
      <c r="X55" s="33">
        <v>0.90389069511101339</v>
      </c>
      <c r="Z55">
        <v>1233</v>
      </c>
      <c r="AA55">
        <f t="shared" si="11"/>
        <v>49320</v>
      </c>
      <c r="AB55">
        <f t="shared" si="12"/>
        <v>946280</v>
      </c>
      <c r="AC55">
        <f t="shared" si="13"/>
        <v>1.6574953059942924E-5</v>
      </c>
      <c r="AD55">
        <f t="shared" si="14"/>
        <v>16.574953059942924</v>
      </c>
      <c r="AE55">
        <f>AVERAGE(AD55:AD56)</f>
        <v>16.304687755951527</v>
      </c>
      <c r="AF55">
        <f>STDEV(AD55:AD56)</f>
        <v>0.38221285834351931</v>
      </c>
      <c r="AH55">
        <f>AD55-O58</f>
        <v>12.919338126541072</v>
      </c>
    </row>
    <row r="56" spans="1:34">
      <c r="A56" s="11" t="s">
        <v>24</v>
      </c>
      <c r="B56" s="11"/>
      <c r="C56" s="11" t="s">
        <v>13</v>
      </c>
      <c r="D56" s="11"/>
      <c r="E56" s="11">
        <v>2</v>
      </c>
      <c r="F56" s="45">
        <v>35</v>
      </c>
      <c r="G56" s="45"/>
      <c r="H56" s="45">
        <v>18239050484</v>
      </c>
      <c r="I56" s="3">
        <f t="shared" si="8"/>
        <v>135052.02880371697</v>
      </c>
      <c r="J56" s="3">
        <f t="shared" si="9"/>
        <v>4352.3836303600583</v>
      </c>
      <c r="K56" s="10">
        <v>19258</v>
      </c>
      <c r="L56" s="10">
        <f t="shared" si="20"/>
        <v>770320</v>
      </c>
      <c r="M56" s="3">
        <f t="shared" si="10"/>
        <v>13.057150891080173</v>
      </c>
      <c r="N56" s="10">
        <f t="shared" si="15"/>
        <v>1.6950294541333698E-5</v>
      </c>
      <c r="O56" s="41">
        <f t="shared" si="16"/>
        <v>16.950294541333697</v>
      </c>
      <c r="P56" s="41"/>
      <c r="Q56" s="41"/>
      <c r="R56" s="46">
        <f t="shared" si="4"/>
        <v>3.8515999999999997E-6</v>
      </c>
      <c r="S56" s="46">
        <f t="shared" si="17"/>
        <v>3390058.9082667395</v>
      </c>
      <c r="T56" s="46">
        <f t="shared" si="18"/>
        <v>3390058908.2667394</v>
      </c>
      <c r="U56" s="43">
        <f t="shared" si="19"/>
        <v>3390.0589082667393</v>
      </c>
      <c r="V56" s="12"/>
      <c r="W56">
        <f>O56-O59</f>
        <v>13.15438295317481</v>
      </c>
      <c r="X56" s="33">
        <v>0.95377321582530883</v>
      </c>
      <c r="Z56">
        <v>1100</v>
      </c>
      <c r="AA56">
        <f t="shared" si="11"/>
        <v>44000</v>
      </c>
      <c r="AB56">
        <f t="shared" si="12"/>
        <v>814320</v>
      </c>
      <c r="AC56">
        <f t="shared" si="13"/>
        <v>1.6034422451960132E-5</v>
      </c>
      <c r="AD56">
        <f t="shared" si="14"/>
        <v>16.034422451960133</v>
      </c>
      <c r="AH56">
        <f>AE55-O59</f>
        <v>12.508776167792639</v>
      </c>
    </row>
    <row r="57" spans="1:34">
      <c r="A57" s="11" t="s">
        <v>24</v>
      </c>
      <c r="B57" s="11"/>
      <c r="C57" s="11" t="s">
        <v>13</v>
      </c>
      <c r="D57" s="11"/>
      <c r="E57" s="11">
        <v>3</v>
      </c>
      <c r="F57" s="45">
        <v>36</v>
      </c>
      <c r="G57" s="45"/>
      <c r="H57" s="45" t="s">
        <v>73</v>
      </c>
      <c r="I57" s="3" t="e">
        <f t="shared" si="8"/>
        <v>#VALUE!</v>
      </c>
      <c r="J57" s="3" t="e">
        <f t="shared" si="9"/>
        <v>#VALUE!</v>
      </c>
      <c r="K57" s="10">
        <v>18258</v>
      </c>
      <c r="L57" s="10">
        <f t="shared" si="20"/>
        <v>730320</v>
      </c>
      <c r="M57" s="3" t="e">
        <f t="shared" si="10"/>
        <v>#VALUE!</v>
      </c>
      <c r="N57" s="10" t="e">
        <f t="shared" si="15"/>
        <v>#VALUE!</v>
      </c>
      <c r="O57" s="41" t="e">
        <f t="shared" si="16"/>
        <v>#VALUE!</v>
      </c>
      <c r="P57" s="41"/>
      <c r="Q57" s="41"/>
      <c r="R57" s="46">
        <f t="shared" si="4"/>
        <v>3.6515999999999999E-6</v>
      </c>
      <c r="S57" s="46" t="e">
        <f t="shared" si="17"/>
        <v>#VALUE!</v>
      </c>
      <c r="T57" s="46" t="e">
        <f t="shared" si="18"/>
        <v>#VALUE!</v>
      </c>
      <c r="U57" s="43" t="e">
        <f t="shared" si="19"/>
        <v>#VALUE!</v>
      </c>
      <c r="V57" s="12"/>
      <c r="Z57">
        <v>1183</v>
      </c>
      <c r="AA57">
        <f t="shared" si="11"/>
        <v>47320</v>
      </c>
      <c r="AB57">
        <f t="shared" si="12"/>
        <v>777640</v>
      </c>
      <c r="AC57" t="e">
        <f t="shared" si="13"/>
        <v>#VALUE!</v>
      </c>
      <c r="AD57" t="e">
        <f t="shared" si="14"/>
        <v>#VALUE!</v>
      </c>
      <c r="AH57">
        <f>AD56-O60</f>
        <v>12.563812096068483</v>
      </c>
    </row>
    <row r="58" spans="1:34">
      <c r="A58" s="1" t="s">
        <v>24</v>
      </c>
      <c r="B58" s="1"/>
      <c r="C58" s="1" t="s">
        <v>14</v>
      </c>
      <c r="D58" s="1"/>
      <c r="E58" s="1">
        <v>1</v>
      </c>
      <c r="F58" s="15">
        <v>37</v>
      </c>
      <c r="G58" s="15"/>
      <c r="H58" s="15">
        <v>34978022419</v>
      </c>
      <c r="I58" s="3">
        <f t="shared" si="8"/>
        <v>187024.12255909664</v>
      </c>
      <c r="J58" s="3">
        <f t="shared" si="9"/>
        <v>6031.082258658821</v>
      </c>
      <c r="K58" s="3">
        <v>123736</v>
      </c>
      <c r="L58" s="3">
        <f t="shared" si="20"/>
        <v>4949440</v>
      </c>
      <c r="M58" s="3">
        <f t="shared" si="10"/>
        <v>18.093246775976464</v>
      </c>
      <c r="N58" s="3">
        <f t="shared" si="15"/>
        <v>3.6556149334018524E-6</v>
      </c>
      <c r="O58" s="41">
        <f t="shared" si="16"/>
        <v>3.6556149334018522</v>
      </c>
      <c r="P58" s="41">
        <f>AVERAGE(O58:O60)</f>
        <v>3.6407122924841295</v>
      </c>
      <c r="Q58" s="41">
        <f>STDEV(O58:O60)</f>
        <v>0.16316185049939749</v>
      </c>
      <c r="R58" s="42">
        <f t="shared" si="4"/>
        <v>2.4747199999999999E-5</v>
      </c>
      <c r="S58" s="42">
        <f t="shared" si="17"/>
        <v>731122.98668037052</v>
      </c>
      <c r="T58" s="42">
        <f t="shared" si="18"/>
        <v>731122986.68037057</v>
      </c>
      <c r="U58" s="43">
        <f t="shared" si="19"/>
        <v>731.12298668037056</v>
      </c>
      <c r="V58" s="44"/>
    </row>
    <row r="59" spans="1:34">
      <c r="A59" s="1" t="s">
        <v>24</v>
      </c>
      <c r="B59" s="1"/>
      <c r="C59" s="1" t="s">
        <v>14</v>
      </c>
      <c r="D59" s="1"/>
      <c r="E59" s="1">
        <v>2</v>
      </c>
      <c r="F59" s="15">
        <v>38</v>
      </c>
      <c r="G59" s="15"/>
      <c r="H59" s="15">
        <v>33053085955</v>
      </c>
      <c r="I59" s="3">
        <f t="shared" si="8"/>
        <v>181805.07681305273</v>
      </c>
      <c r="J59" s="3">
        <f t="shared" si="9"/>
        <v>5862.5070810616035</v>
      </c>
      <c r="K59" s="3">
        <v>115832</v>
      </c>
      <c r="L59" s="3">
        <f t="shared" si="20"/>
        <v>4633280</v>
      </c>
      <c r="M59" s="3">
        <f t="shared" si="10"/>
        <v>17.58752124318481</v>
      </c>
      <c r="N59" s="3">
        <f t="shared" si="15"/>
        <v>3.7959115881588873E-6</v>
      </c>
      <c r="O59" s="41">
        <f t="shared" si="16"/>
        <v>3.7959115881588872</v>
      </c>
      <c r="P59" s="41"/>
      <c r="Q59" s="41"/>
      <c r="R59" s="42">
        <f t="shared" si="4"/>
        <v>2.3166399999999999E-5</v>
      </c>
      <c r="S59" s="42">
        <f t="shared" si="17"/>
        <v>759182.31763177749</v>
      </c>
      <c r="T59" s="42">
        <f t="shared" si="18"/>
        <v>759182317.63177752</v>
      </c>
      <c r="U59" s="43">
        <f t="shared" si="19"/>
        <v>759.18231763177755</v>
      </c>
      <c r="V59" s="44"/>
    </row>
    <row r="60" spans="1:34">
      <c r="A60" s="1" t="s">
        <v>24</v>
      </c>
      <c r="B60" s="1"/>
      <c r="C60" s="1" t="s">
        <v>14</v>
      </c>
      <c r="D60" s="1"/>
      <c r="E60" s="1">
        <v>3</v>
      </c>
      <c r="F60" s="15">
        <v>39</v>
      </c>
      <c r="G60" s="15"/>
      <c r="H60" s="15">
        <v>30574379950</v>
      </c>
      <c r="I60" s="3">
        <f t="shared" si="8"/>
        <v>174855.31147208539</v>
      </c>
      <c r="J60" s="3">
        <f t="shared" si="9"/>
        <v>5638.0296605483582</v>
      </c>
      <c r="K60" s="3">
        <v>121838</v>
      </c>
      <c r="L60" s="3">
        <f t="shared" si="20"/>
        <v>4873520</v>
      </c>
      <c r="M60" s="3">
        <f t="shared" si="10"/>
        <v>16.914088981645072</v>
      </c>
      <c r="N60" s="3">
        <f t="shared" si="15"/>
        <v>3.4706103558916498E-6</v>
      </c>
      <c r="O60" s="41">
        <f t="shared" si="16"/>
        <v>3.4706103558916497</v>
      </c>
      <c r="P60" s="41"/>
      <c r="Q60" s="41"/>
      <c r="R60" s="42">
        <f t="shared" si="4"/>
        <v>2.4367599999999997E-5</v>
      </c>
      <c r="S60" s="42">
        <f t="shared" si="17"/>
        <v>694122.07117832999</v>
      </c>
      <c r="T60" s="42">
        <f t="shared" si="18"/>
        <v>694122071.17832994</v>
      </c>
      <c r="U60" s="43">
        <f t="shared" si="19"/>
        <v>694.12207117832997</v>
      </c>
      <c r="V60" s="44"/>
    </row>
    <row r="61" spans="1:34">
      <c r="A61" s="11" t="s">
        <v>24</v>
      </c>
      <c r="B61" s="11"/>
      <c r="C61" s="11" t="s">
        <v>69</v>
      </c>
      <c r="D61" s="11"/>
      <c r="E61" s="11">
        <v>1</v>
      </c>
      <c r="F61" s="45">
        <v>40</v>
      </c>
      <c r="G61" s="45"/>
      <c r="H61" s="45">
        <v>47262220</v>
      </c>
      <c r="I61" s="3">
        <f t="shared" si="8"/>
        <v>6874.7523591762929</v>
      </c>
      <c r="J61" s="3">
        <f t="shared" si="9"/>
        <v>212.25760120139429</v>
      </c>
      <c r="K61" s="10">
        <v>0</v>
      </c>
      <c r="L61" s="10">
        <f t="shared" si="1"/>
        <v>0</v>
      </c>
      <c r="M61" s="3">
        <f t="shared" si="10"/>
        <v>0.63677280360418287</v>
      </c>
      <c r="N61" s="10" t="e">
        <f t="shared" si="15"/>
        <v>#DIV/0!</v>
      </c>
      <c r="O61" s="41" t="e">
        <f t="shared" si="16"/>
        <v>#DIV/0!</v>
      </c>
      <c r="P61" s="41"/>
      <c r="Q61" s="41"/>
      <c r="R61" s="46">
        <f t="shared" si="4"/>
        <v>0</v>
      </c>
      <c r="S61" s="46" t="e">
        <f t="shared" si="17"/>
        <v>#DIV/0!</v>
      </c>
      <c r="T61" s="46" t="e">
        <f t="shared" si="18"/>
        <v>#DIV/0!</v>
      </c>
      <c r="U61" s="43" t="e">
        <f t="shared" si="19"/>
        <v>#DIV/0!</v>
      </c>
      <c r="V61" s="12"/>
    </row>
    <row r="64" spans="1:34">
      <c r="K64" s="2">
        <v>1233</v>
      </c>
      <c r="L64">
        <f>K64*40</f>
        <v>49320</v>
      </c>
      <c r="M64">
        <f>L55+L64</f>
        <v>946280</v>
      </c>
      <c r="N64">
        <f>M55/M64</f>
        <v>1.6574953059942924E-5</v>
      </c>
      <c r="O64">
        <f>N64*1*10^6</f>
        <v>16.574953059942924</v>
      </c>
    </row>
    <row r="65" spans="11:15">
      <c r="K65" s="2">
        <v>1100</v>
      </c>
      <c r="L65">
        <f t="shared" ref="L65:L66" si="21">K65*40</f>
        <v>44000</v>
      </c>
      <c r="M65">
        <f t="shared" ref="M65:M66" si="22">L56+L65</f>
        <v>814320</v>
      </c>
      <c r="N65">
        <f t="shared" ref="N65:N66" si="23">M56/M65</f>
        <v>1.6034422451960132E-5</v>
      </c>
      <c r="O65">
        <f>N65*1*10^6</f>
        <v>16.034422451960133</v>
      </c>
    </row>
    <row r="66" spans="11:15">
      <c r="K66" s="2">
        <v>1183</v>
      </c>
      <c r="L66">
        <f t="shared" si="21"/>
        <v>47320</v>
      </c>
      <c r="M66">
        <f t="shared" si="22"/>
        <v>777640</v>
      </c>
      <c r="N66" t="e">
        <f t="shared" si="23"/>
        <v>#VALUE!</v>
      </c>
    </row>
  </sheetData>
  <phoneticPr fontId="4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preyabun</vt:lpstr>
      <vt:lpstr>SSC</vt:lpstr>
      <vt:lpstr>FSC</vt:lpstr>
      <vt:lpstr>predabun</vt:lpstr>
      <vt:lpstr>RedF</vt:lpstr>
      <vt:lpstr>fvfm</vt:lpstr>
      <vt:lpstr>DMSPp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Harvey</dc:creator>
  <cp:lastModifiedBy>Elizabeth Harvey</cp:lastModifiedBy>
  <cp:lastPrinted>2013-10-25T16:30:24Z</cp:lastPrinted>
  <dcterms:created xsi:type="dcterms:W3CDTF">2013-08-28T13:01:51Z</dcterms:created>
  <dcterms:modified xsi:type="dcterms:W3CDTF">2014-04-15T17:07:10Z</dcterms:modified>
</cp:coreProperties>
</file>