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225"/>
  <workbookPr date1904="1" showInkAnnotation="0" autoCompressPictures="0"/>
  <bookViews>
    <workbookView xWindow="0" yWindow="0" windowWidth="25600" windowHeight="16060" tabRatio="500" activeTab="4"/>
  </bookViews>
  <sheets>
    <sheet name="Cell Abundance" sheetId="2" r:id="rId1"/>
    <sheet name="DAF-FM" sheetId="3" r:id="rId2"/>
    <sheet name="H2-DCFDA" sheetId="4" r:id="rId3"/>
    <sheet name="SYTOX" sheetId="5" r:id="rId4"/>
    <sheet name="Virus counts" sheetId="7" r:id="rId5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8" i="3" l="1"/>
  <c r="D18" i="3"/>
  <c r="F18" i="3"/>
  <c r="D17" i="3"/>
  <c r="D15" i="3"/>
  <c r="D14" i="3"/>
  <c r="J10" i="2"/>
  <c r="E6" i="7"/>
  <c r="F6" i="7"/>
  <c r="G6" i="7"/>
  <c r="H6" i="7"/>
  <c r="I6" i="7"/>
  <c r="B28" i="7"/>
  <c r="F8" i="7"/>
  <c r="E8" i="7"/>
  <c r="G8" i="7"/>
  <c r="H8" i="7"/>
  <c r="I8" i="7"/>
  <c r="C28" i="7"/>
  <c r="I28" i="7"/>
  <c r="J28" i="7"/>
  <c r="F7" i="7"/>
  <c r="E7" i="7"/>
  <c r="G7" i="7"/>
  <c r="H7" i="7"/>
  <c r="I7" i="7"/>
  <c r="E28" i="7"/>
  <c r="F9" i="7"/>
  <c r="E9" i="7"/>
  <c r="G9" i="7"/>
  <c r="H9" i="7"/>
  <c r="I9" i="7"/>
  <c r="F28" i="7"/>
  <c r="K28" i="7"/>
  <c r="L28" i="7"/>
  <c r="F11" i="7"/>
  <c r="E11" i="7"/>
  <c r="G11" i="7"/>
  <c r="H11" i="7"/>
  <c r="I11" i="7"/>
  <c r="B29" i="7"/>
  <c r="F13" i="7"/>
  <c r="E13" i="7"/>
  <c r="G13" i="7"/>
  <c r="H13" i="7"/>
  <c r="I13" i="7"/>
  <c r="C29" i="7"/>
  <c r="I29" i="7"/>
  <c r="J29" i="7"/>
  <c r="F12" i="7"/>
  <c r="E12" i="7"/>
  <c r="G12" i="7"/>
  <c r="H12" i="7"/>
  <c r="I12" i="7"/>
  <c r="E29" i="7"/>
  <c r="F14" i="7"/>
  <c r="E14" i="7"/>
  <c r="G14" i="7"/>
  <c r="H14" i="7"/>
  <c r="I14" i="7"/>
  <c r="F29" i="7"/>
  <c r="K29" i="7"/>
  <c r="L29" i="7"/>
  <c r="F16" i="7"/>
  <c r="E16" i="7"/>
  <c r="G16" i="7"/>
  <c r="H16" i="7"/>
  <c r="I16" i="7"/>
  <c r="B30" i="7"/>
  <c r="F18" i="7"/>
  <c r="E18" i="7"/>
  <c r="G18" i="7"/>
  <c r="H18" i="7"/>
  <c r="I18" i="7"/>
  <c r="C30" i="7"/>
  <c r="I30" i="7"/>
  <c r="J30" i="7"/>
  <c r="F17" i="7"/>
  <c r="E17" i="7"/>
  <c r="G17" i="7"/>
  <c r="H17" i="7"/>
  <c r="I17" i="7"/>
  <c r="E30" i="7"/>
  <c r="F19" i="7"/>
  <c r="E19" i="7"/>
  <c r="G19" i="7"/>
  <c r="H19" i="7"/>
  <c r="I19" i="7"/>
  <c r="F30" i="7"/>
  <c r="K30" i="7"/>
  <c r="L30" i="7"/>
  <c r="F21" i="7"/>
  <c r="D21" i="7"/>
  <c r="E21" i="7"/>
  <c r="G21" i="7"/>
  <c r="H21" i="7"/>
  <c r="I21" i="7"/>
  <c r="B31" i="7"/>
  <c r="F23" i="7"/>
  <c r="D23" i="7"/>
  <c r="E23" i="7"/>
  <c r="G23" i="7"/>
  <c r="H23" i="7"/>
  <c r="I23" i="7"/>
  <c r="C31" i="7"/>
  <c r="I31" i="7"/>
  <c r="J31" i="7"/>
  <c r="F22" i="7"/>
  <c r="D22" i="7"/>
  <c r="E22" i="7"/>
  <c r="G22" i="7"/>
  <c r="H22" i="7"/>
  <c r="I22" i="7"/>
  <c r="E31" i="7"/>
  <c r="F24" i="7"/>
  <c r="D24" i="7"/>
  <c r="E24" i="7"/>
  <c r="G24" i="7"/>
  <c r="H24" i="7"/>
  <c r="I24" i="7"/>
  <c r="F31" i="7"/>
  <c r="K31" i="7"/>
  <c r="L31" i="7"/>
  <c r="E7" i="5"/>
  <c r="F7" i="5"/>
  <c r="L7" i="5"/>
  <c r="M7" i="5"/>
  <c r="E8" i="5"/>
  <c r="F8" i="5"/>
  <c r="L8" i="5"/>
  <c r="M8" i="5"/>
  <c r="E9" i="5"/>
  <c r="F9" i="5"/>
  <c r="L9" i="5"/>
  <c r="M9" i="5"/>
  <c r="E10" i="5"/>
  <c r="F10" i="5"/>
  <c r="L10" i="5"/>
  <c r="M10" i="5"/>
  <c r="E6" i="5"/>
  <c r="F6" i="5"/>
  <c r="L6" i="5"/>
  <c r="M6" i="5"/>
  <c r="B7" i="5"/>
  <c r="C7" i="5"/>
  <c r="J7" i="5"/>
  <c r="K7" i="5"/>
  <c r="B8" i="5"/>
  <c r="C8" i="5"/>
  <c r="J8" i="5"/>
  <c r="K8" i="5"/>
  <c r="B9" i="5"/>
  <c r="C9" i="5"/>
  <c r="J9" i="5"/>
  <c r="K9" i="5"/>
  <c r="B10" i="5"/>
  <c r="C10" i="5"/>
  <c r="J10" i="5"/>
  <c r="K10" i="5"/>
  <c r="B6" i="5"/>
  <c r="C6" i="5"/>
  <c r="J6" i="5"/>
  <c r="K6" i="5"/>
  <c r="B14" i="3"/>
  <c r="B24" i="3"/>
  <c r="C24" i="3"/>
  <c r="E12" i="2"/>
  <c r="F12" i="2"/>
  <c r="L12" i="2"/>
  <c r="M12" i="2"/>
  <c r="E13" i="2"/>
  <c r="F13" i="2"/>
  <c r="L13" i="2"/>
  <c r="M13" i="2"/>
  <c r="E11" i="2"/>
  <c r="F11" i="2"/>
  <c r="L11" i="2"/>
  <c r="M11" i="2"/>
  <c r="B12" i="2"/>
  <c r="C12" i="2"/>
  <c r="J12" i="2"/>
  <c r="K12" i="2"/>
  <c r="B13" i="2"/>
  <c r="C13" i="2"/>
  <c r="J13" i="2"/>
  <c r="K13" i="2"/>
  <c r="J11" i="2"/>
  <c r="K11" i="2"/>
  <c r="G12" i="2"/>
  <c r="G11" i="2"/>
  <c r="D12" i="2"/>
  <c r="D11" i="2"/>
  <c r="D13" i="2"/>
  <c r="G13" i="2"/>
  <c r="F38" i="3"/>
  <c r="G38" i="3"/>
  <c r="F35" i="3"/>
  <c r="G35" i="3"/>
  <c r="F36" i="3"/>
  <c r="G36" i="3"/>
  <c r="F37" i="3"/>
  <c r="G37" i="3"/>
  <c r="F34" i="3"/>
  <c r="G34" i="3"/>
  <c r="B35" i="3"/>
  <c r="C35" i="3"/>
  <c r="B36" i="3"/>
  <c r="C36" i="3"/>
  <c r="B37" i="3"/>
  <c r="C37" i="3"/>
  <c r="B38" i="3"/>
  <c r="C38" i="3"/>
  <c r="B34" i="3"/>
  <c r="C34" i="3"/>
  <c r="H35" i="3"/>
  <c r="H36" i="3"/>
  <c r="H37" i="3"/>
  <c r="H38" i="3"/>
  <c r="H34" i="3"/>
  <c r="D35" i="3"/>
  <c r="D36" i="3"/>
  <c r="D37" i="3"/>
  <c r="D38" i="3"/>
  <c r="D34" i="3"/>
  <c r="J15" i="3"/>
  <c r="M9" i="3"/>
  <c r="L15" i="3"/>
  <c r="D25" i="3"/>
  <c r="J16" i="3"/>
  <c r="L10" i="3"/>
  <c r="L16" i="3"/>
  <c r="D26" i="3"/>
  <c r="J17" i="3"/>
  <c r="L17" i="3"/>
  <c r="D27" i="3"/>
  <c r="J12" i="3"/>
  <c r="J18" i="3"/>
  <c r="L18" i="3"/>
  <c r="D28" i="3"/>
  <c r="J8" i="3"/>
  <c r="J14" i="3"/>
  <c r="L14" i="3"/>
  <c r="D24" i="3"/>
  <c r="B28" i="3"/>
  <c r="B15" i="3"/>
  <c r="B25" i="3"/>
  <c r="C25" i="3"/>
  <c r="B16" i="3"/>
  <c r="D16" i="3"/>
  <c r="B26" i="3"/>
  <c r="C26" i="3"/>
  <c r="B11" i="3"/>
  <c r="B17" i="3"/>
  <c r="B27" i="3"/>
  <c r="C27" i="3"/>
  <c r="C28" i="3"/>
  <c r="N15" i="3"/>
  <c r="N16" i="3"/>
  <c r="N17" i="3"/>
  <c r="N18" i="3"/>
  <c r="N14" i="3"/>
  <c r="F15" i="3"/>
  <c r="F16" i="3"/>
  <c r="F17" i="3"/>
  <c r="F14" i="3"/>
  <c r="F34" i="4"/>
  <c r="G34" i="4"/>
  <c r="F35" i="4"/>
  <c r="G35" i="4"/>
  <c r="F36" i="4"/>
  <c r="G36" i="4"/>
  <c r="F37" i="4"/>
  <c r="G37" i="4"/>
  <c r="F33" i="4"/>
  <c r="G33" i="4"/>
  <c r="B34" i="4"/>
  <c r="C34" i="4"/>
  <c r="B35" i="4"/>
  <c r="C35" i="4"/>
  <c r="B36" i="4"/>
  <c r="C36" i="4"/>
  <c r="B37" i="4"/>
  <c r="C37" i="4"/>
  <c r="B33" i="4"/>
  <c r="C33" i="4"/>
  <c r="H34" i="4"/>
  <c r="H35" i="4"/>
  <c r="H36" i="4"/>
  <c r="H37" i="4"/>
  <c r="H33" i="4"/>
  <c r="D34" i="4"/>
  <c r="D35" i="4"/>
  <c r="D36" i="4"/>
  <c r="D37" i="4"/>
  <c r="D33" i="4"/>
  <c r="J15" i="4"/>
  <c r="L15" i="4"/>
  <c r="D25" i="4"/>
  <c r="E25" i="4"/>
  <c r="J16" i="4"/>
  <c r="L10" i="4"/>
  <c r="L16" i="4"/>
  <c r="D26" i="4"/>
  <c r="E26" i="4"/>
  <c r="J17" i="4"/>
  <c r="L17" i="4"/>
  <c r="D27" i="4"/>
  <c r="E27" i="4"/>
  <c r="J12" i="4"/>
  <c r="J18" i="4"/>
  <c r="L18" i="4"/>
  <c r="D28" i="4"/>
  <c r="E28" i="4"/>
  <c r="J8" i="4"/>
  <c r="J14" i="4"/>
  <c r="L14" i="4"/>
  <c r="D24" i="4"/>
  <c r="E24" i="4"/>
  <c r="B15" i="4"/>
  <c r="D15" i="4"/>
  <c r="B25" i="4"/>
  <c r="C25" i="4"/>
  <c r="B16" i="4"/>
  <c r="D16" i="4"/>
  <c r="B26" i="4"/>
  <c r="C26" i="4"/>
  <c r="B11" i="4"/>
  <c r="B17" i="4"/>
  <c r="D17" i="4"/>
  <c r="B27" i="4"/>
  <c r="C27" i="4"/>
  <c r="B18" i="4"/>
  <c r="D18" i="4"/>
  <c r="B28" i="4"/>
  <c r="C28" i="4"/>
  <c r="B14" i="4"/>
  <c r="D14" i="4"/>
  <c r="B24" i="4"/>
  <c r="C24" i="4"/>
  <c r="N15" i="4"/>
  <c r="N16" i="4"/>
  <c r="N17" i="4"/>
  <c r="N18" i="4"/>
  <c r="N14" i="4"/>
  <c r="F15" i="4"/>
  <c r="F16" i="4"/>
  <c r="F17" i="4"/>
  <c r="F18" i="4"/>
  <c r="F14" i="4"/>
  <c r="G7" i="5"/>
  <c r="G8" i="5"/>
  <c r="G9" i="5"/>
  <c r="G10" i="5"/>
  <c r="G6" i="5"/>
  <c r="D7" i="5"/>
  <c r="D8" i="5"/>
  <c r="D9" i="5"/>
  <c r="D10" i="5"/>
  <c r="D6" i="5"/>
  <c r="G31" i="7"/>
  <c r="D31" i="7"/>
  <c r="G30" i="7"/>
  <c r="D30" i="7"/>
  <c r="G29" i="7"/>
  <c r="D29" i="7"/>
  <c r="G28" i="7"/>
  <c r="D28" i="7"/>
</calcChain>
</file>

<file path=xl/sharedStrings.xml><?xml version="1.0" encoding="utf-8"?>
<sst xmlns="http://schemas.openxmlformats.org/spreadsheetml/2006/main" count="161" uniqueCount="89">
  <si>
    <t>Time (s)</t>
    <phoneticPr fontId="2" type="noConversion"/>
  </si>
  <si>
    <t>Flow Rate (uL/min)</t>
    <phoneticPr fontId="2" type="noConversion"/>
  </si>
  <si>
    <t>Flow Rate (mL/sec)</t>
    <phoneticPr fontId="2" type="noConversion"/>
  </si>
  <si>
    <t>Cells/sec</t>
    <phoneticPr fontId="2" type="noConversion"/>
  </si>
  <si>
    <t>Cells/mL</t>
    <phoneticPr fontId="2" type="noConversion"/>
  </si>
  <si>
    <t>24 Hour V2</t>
    <phoneticPr fontId="2" type="noConversion"/>
  </si>
  <si>
    <t>C2</t>
    <phoneticPr fontId="2" type="noConversion"/>
  </si>
  <si>
    <t>C2</t>
    <phoneticPr fontId="2" type="noConversion"/>
  </si>
  <si>
    <t>V1</t>
    <phoneticPr fontId="2" type="noConversion"/>
  </si>
  <si>
    <t>V2</t>
    <phoneticPr fontId="2" type="noConversion"/>
  </si>
  <si>
    <t>C Avg</t>
    <phoneticPr fontId="2" type="noConversion"/>
  </si>
  <si>
    <t>V Avg</t>
    <phoneticPr fontId="2" type="noConversion"/>
  </si>
  <si>
    <t>Time</t>
    <phoneticPr fontId="2" type="noConversion"/>
  </si>
  <si>
    <t>C1</t>
    <phoneticPr fontId="2" type="noConversion"/>
  </si>
  <si>
    <t>V1</t>
    <phoneticPr fontId="2" type="noConversion"/>
  </si>
  <si>
    <t>DAFFM Staining</t>
    <phoneticPr fontId="2" type="noConversion"/>
  </si>
  <si>
    <t>Mean 520 (geometric) of Main Population</t>
    <phoneticPr fontId="2" type="noConversion"/>
  </si>
  <si>
    <t>C1</t>
  </si>
  <si>
    <t>C2</t>
  </si>
  <si>
    <t>C Average</t>
  </si>
  <si>
    <t>V1</t>
  </si>
  <si>
    <t>V1</t>
    <phoneticPr fontId="2" type="noConversion"/>
  </si>
  <si>
    <t>V2</t>
  </si>
  <si>
    <t>V Average</t>
  </si>
  <si>
    <t>C Unstained</t>
    <phoneticPr fontId="2" type="noConversion"/>
  </si>
  <si>
    <t>V Unstained</t>
    <phoneticPr fontId="2" type="noConversion"/>
  </si>
  <si>
    <t>C1</t>
    <phoneticPr fontId="2" type="noConversion"/>
  </si>
  <si>
    <t>C2</t>
    <phoneticPr fontId="2" type="noConversion"/>
  </si>
  <si>
    <t>C Avg</t>
    <phoneticPr fontId="2" type="noConversion"/>
  </si>
  <si>
    <t>V2</t>
    <phoneticPr fontId="2" type="noConversion"/>
  </si>
  <si>
    <t>H2-DCFDA Staining</t>
    <phoneticPr fontId="2" type="noConversion"/>
  </si>
  <si>
    <t>V2</t>
    <phoneticPr fontId="2" type="noConversion"/>
  </si>
  <si>
    <t>Virus Stock</t>
    <phoneticPr fontId="2" type="noConversion"/>
  </si>
  <si>
    <t>Events</t>
    <phoneticPr fontId="2" type="noConversion"/>
  </si>
  <si>
    <t>11/20-11/23/2013</t>
  </si>
  <si>
    <t>C= Control</t>
  </si>
  <si>
    <t>C1 Background Subtracted</t>
  </si>
  <si>
    <t>C2 Background Subtracted</t>
  </si>
  <si>
    <t>Controls</t>
  </si>
  <si>
    <t>Virus Infected</t>
  </si>
  <si>
    <t>Hours Post Infection</t>
  </si>
  <si>
    <t>V2 Background Subtracted</t>
  </si>
  <si>
    <t>V Average (Background Subtracted)</t>
  </si>
  <si>
    <t>SEM</t>
  </si>
  <si>
    <t>Unstained sample values are subtracted from the staim samples to correct for background autofluorescence</t>
  </si>
  <si>
    <t>V1 Background Subracted</t>
  </si>
  <si>
    <t xml:space="preserve">Virus Counts </t>
  </si>
  <si>
    <t xml:space="preserve">C1 </t>
  </si>
  <si>
    <t>Control</t>
  </si>
  <si>
    <t>Virus</t>
  </si>
  <si>
    <t>Control Avg</t>
  </si>
  <si>
    <t>Virus Avg</t>
  </si>
  <si>
    <t>V= Viral Infected,      2 biological replicates of each</t>
  </si>
  <si>
    <t>Measured Cell Abundances, Virus Counts, DAF-FM (NO), H2-DCFDA (ROS), and SYTOX (cell death)</t>
  </si>
  <si>
    <t>V Avg</t>
  </si>
  <si>
    <t>Cells/mL</t>
  </si>
  <si>
    <t>Cells/mL (x 50 fold dilution factor)</t>
  </si>
  <si>
    <t>6 Hour Control 1</t>
  </si>
  <si>
    <t>6 Hour Virus 1</t>
  </si>
  <si>
    <t>6 Hour Control 2</t>
  </si>
  <si>
    <t>24 Hour Control 1</t>
  </si>
  <si>
    <t>24 Hour Virus 1</t>
  </si>
  <si>
    <t>24 Hour Control 2</t>
  </si>
  <si>
    <t>48 Hour Control 1</t>
  </si>
  <si>
    <t>48 Hour Virus 1</t>
  </si>
  <si>
    <t>48 Hour Control 2</t>
  </si>
  <si>
    <t>48 Hour Virus 2</t>
  </si>
  <si>
    <t>72 Hour Control 1</t>
  </si>
  <si>
    <t>72 Hour Virus 1</t>
  </si>
  <si>
    <t>72 Hour Control 2</t>
  </si>
  <si>
    <t>72 Hour Virus 2</t>
  </si>
  <si>
    <t>C2 Unstained</t>
  </si>
  <si>
    <t>C1 (Background Subtracted)</t>
  </si>
  <si>
    <t>C2 (Background Subtracted)</t>
  </si>
  <si>
    <t>V1 (Background Subtracted)</t>
  </si>
  <si>
    <t>V2 (Background Subtracted)</t>
  </si>
  <si>
    <t>Percent Population Positively Stained</t>
  </si>
  <si>
    <t xml:space="preserve">Cell Abundances </t>
  </si>
  <si>
    <t>Standard Deviation</t>
  </si>
  <si>
    <t>C1 Stained</t>
  </si>
  <si>
    <t>C2 Stained</t>
  </si>
  <si>
    <t>V1Stained</t>
  </si>
  <si>
    <t>V2 Staine</t>
  </si>
  <si>
    <t>V1 Stained</t>
  </si>
  <si>
    <t>V2 Stained</t>
  </si>
  <si>
    <t>C Average (Background Subtracted)</t>
  </si>
  <si>
    <t>SYTOX Green Staining (Cell Death)</t>
  </si>
  <si>
    <t>Standard Deviatiom</t>
  </si>
  <si>
    <t>Viral infection of E. huxleyi strain CCMP1516 with EhV 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</si>
</sst>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Verdana"/>
    </font>
    <font>
      <b/>
      <sz val="10"/>
      <name val="Verdana"/>
    </font>
    <font>
      <sz val="8"/>
      <name val="Verdana"/>
    </font>
    <font>
      <sz val="12"/>
      <color rgb="FF006100"/>
      <name val="Calibri"/>
      <family val="2"/>
      <scheme val="minor"/>
    </font>
    <font>
      <u/>
      <sz val="10"/>
      <color theme="10"/>
      <name val="Verdana"/>
    </font>
    <font>
      <u/>
      <sz val="10"/>
      <color theme="11"/>
      <name val="Verdana"/>
    </font>
    <font>
      <sz val="10"/>
      <name val="Verdana"/>
    </font>
    <font>
      <b/>
      <sz val="12"/>
      <name val="Calibri"/>
      <scheme val="minor"/>
    </font>
    <font>
      <b/>
      <u/>
      <sz val="10"/>
      <name val="Verdana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CC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75">
    <xf numFmtId="0" fontId="0" fillId="0" borderId="0"/>
    <xf numFmtId="0" fontId="3" fillId="2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3" borderId="1" applyNumberFormat="0" applyFont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Fill="1"/>
    <xf numFmtId="0" fontId="1" fillId="0" borderId="0" xfId="0" applyFont="1"/>
    <xf numFmtId="11" fontId="0" fillId="0" borderId="0" xfId="0" applyNumberFormat="1"/>
    <xf numFmtId="11" fontId="0" fillId="0" borderId="0" xfId="0" applyNumberFormat="1"/>
    <xf numFmtId="11" fontId="0" fillId="0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1" fillId="0" borderId="0" xfId="0" applyFont="1" applyFill="1"/>
    <xf numFmtId="0" fontId="0" fillId="3" borderId="1" xfId="8" applyFont="1"/>
    <xf numFmtId="0" fontId="1" fillId="3" borderId="1" xfId="8" applyFont="1"/>
    <xf numFmtId="0" fontId="7" fillId="2" borderId="0" xfId="1" applyFont="1"/>
    <xf numFmtId="0" fontId="0" fillId="0" borderId="0" xfId="0"/>
    <xf numFmtId="0" fontId="0" fillId="0" borderId="0" xfId="0" applyFont="1"/>
    <xf numFmtId="0" fontId="8" fillId="0" borderId="0" xfId="0" applyFont="1"/>
    <xf numFmtId="0" fontId="8" fillId="3" borderId="1" xfId="8" applyFont="1"/>
    <xf numFmtId="0" fontId="8" fillId="0" borderId="0" xfId="0" applyFont="1"/>
  </cellXfs>
  <cellStyles count="75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Good" xfId="1" builtinId="26"/>
    <cellStyle name="Hyperlink" xfId="2" builtinId="8" hidden="1"/>
    <cellStyle name="Hyperlink" xfId="4" builtinId="8" hidden="1"/>
    <cellStyle name="Hyperlink" xfId="6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Normal" xfId="0" builtinId="0"/>
    <cellStyle name="Note" xfId="8" builtinId="1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5926600215436"/>
          <c:y val="0.0388691742924026"/>
          <c:w val="0.718802360687573"/>
          <c:h val="0.844479410512875"/>
        </c:manualLayout>
      </c:layout>
      <c:scatterChart>
        <c:scatterStyle val="lineMarker"/>
        <c:varyColors val="0"/>
        <c:ser>
          <c:idx val="0"/>
          <c:order val="0"/>
          <c:tx>
            <c:v>Control</c:v>
          </c:tx>
          <c:errBars>
            <c:errDir val="y"/>
            <c:errBarType val="both"/>
            <c:errValType val="cust"/>
            <c:noEndCap val="0"/>
            <c:plus>
              <c:numRef>
                <c:f>'Virus counts'!$J$28:$J$31</c:f>
                <c:numCache>
                  <c:formatCode>General</c:formatCode>
                  <c:ptCount val="4"/>
                  <c:pt idx="0">
                    <c:v>86770.3403200361</c:v>
                  </c:pt>
                  <c:pt idx="1">
                    <c:v>137480.2794681091</c:v>
                  </c:pt>
                  <c:pt idx="2">
                    <c:v>127338.2916384945</c:v>
                  </c:pt>
                  <c:pt idx="3">
                    <c:v>61740.89068825915</c:v>
                  </c:pt>
                </c:numCache>
              </c:numRef>
            </c:plus>
            <c:minus>
              <c:numRef>
                <c:f>'Virus counts'!$J$28:$J$31</c:f>
                <c:numCache>
                  <c:formatCode>General</c:formatCode>
                  <c:ptCount val="4"/>
                  <c:pt idx="0">
                    <c:v>86770.3403200361</c:v>
                  </c:pt>
                  <c:pt idx="1">
                    <c:v>137480.2794681091</c:v>
                  </c:pt>
                  <c:pt idx="2">
                    <c:v>127338.2916384945</c:v>
                  </c:pt>
                  <c:pt idx="3">
                    <c:v>61740.89068825915</c:v>
                  </c:pt>
                </c:numCache>
              </c:numRef>
            </c:minus>
          </c:errBars>
          <c:xVal>
            <c:numRef>
              <c:f>'Virus counts'!$A$28:$A$31</c:f>
              <c:numCache>
                <c:formatCode>General</c:formatCode>
                <c:ptCount val="4"/>
                <c:pt idx="0">
                  <c:v>6.0</c:v>
                </c:pt>
                <c:pt idx="1">
                  <c:v>24.0</c:v>
                </c:pt>
                <c:pt idx="2">
                  <c:v>48.0</c:v>
                </c:pt>
                <c:pt idx="3">
                  <c:v>72.0</c:v>
                </c:pt>
              </c:numCache>
            </c:numRef>
          </c:xVal>
          <c:yVal>
            <c:numRef>
              <c:f>'Virus counts'!$D$28:$D$31</c:f>
              <c:numCache>
                <c:formatCode>0.00E+00</c:formatCode>
                <c:ptCount val="4"/>
                <c:pt idx="0">
                  <c:v>431597.9265269326</c:v>
                </c:pt>
                <c:pt idx="1">
                  <c:v>626549.4703628579</c:v>
                </c:pt>
                <c:pt idx="2">
                  <c:v>690782.059950417</c:v>
                </c:pt>
                <c:pt idx="3">
                  <c:v>841093.117408907</c:v>
                </c:pt>
              </c:numCache>
            </c:numRef>
          </c:yVal>
          <c:smooth val="0"/>
        </c:ser>
        <c:ser>
          <c:idx val="1"/>
          <c:order val="1"/>
          <c:tx>
            <c:v>+ EhV 86</c:v>
          </c:tx>
          <c:errBars>
            <c:errDir val="y"/>
            <c:errBarType val="both"/>
            <c:errValType val="cust"/>
            <c:noEndCap val="0"/>
            <c:plus>
              <c:numRef>
                <c:f>'Virus counts'!$L$28:$L$31</c:f>
                <c:numCache>
                  <c:formatCode>General</c:formatCode>
                  <c:ptCount val="4"/>
                  <c:pt idx="0">
                    <c:v>3380.662609871709</c:v>
                  </c:pt>
                  <c:pt idx="1">
                    <c:v>1.1201262114041E6</c:v>
                  </c:pt>
                  <c:pt idx="2">
                    <c:v>3.94421906693712E7</c:v>
                  </c:pt>
                  <c:pt idx="3">
                    <c:v>5.75506072874495E7</c:v>
                  </c:pt>
                </c:numCache>
              </c:numRef>
            </c:plus>
            <c:minus>
              <c:numRef>
                <c:f>'Virus counts'!$L$28:$L$31</c:f>
                <c:numCache>
                  <c:formatCode>General</c:formatCode>
                  <c:ptCount val="4"/>
                  <c:pt idx="0">
                    <c:v>3380.662609871709</c:v>
                  </c:pt>
                  <c:pt idx="1">
                    <c:v>1.1201262114041E6</c:v>
                  </c:pt>
                  <c:pt idx="2">
                    <c:v>3.94421906693712E7</c:v>
                  </c:pt>
                  <c:pt idx="3">
                    <c:v>5.75506072874495E7</c:v>
                  </c:pt>
                </c:numCache>
              </c:numRef>
            </c:minus>
          </c:errBars>
          <c:xVal>
            <c:numRef>
              <c:f>'Virus counts'!$A$28:$A$31</c:f>
              <c:numCache>
                <c:formatCode>General</c:formatCode>
                <c:ptCount val="4"/>
                <c:pt idx="0">
                  <c:v>6.0</c:v>
                </c:pt>
                <c:pt idx="1">
                  <c:v>24.0</c:v>
                </c:pt>
                <c:pt idx="2">
                  <c:v>48.0</c:v>
                </c:pt>
                <c:pt idx="3">
                  <c:v>72.0</c:v>
                </c:pt>
              </c:numCache>
            </c:numRef>
          </c:xVal>
          <c:yVal>
            <c:numRef>
              <c:f>'Virus counts'!$G$28:$G$31</c:f>
              <c:numCache>
                <c:formatCode>0.00E+00</c:formatCode>
                <c:ptCount val="4"/>
                <c:pt idx="0">
                  <c:v>2.3630831643002E6</c:v>
                </c:pt>
                <c:pt idx="1">
                  <c:v>9.19990984899707E6</c:v>
                </c:pt>
                <c:pt idx="2">
                  <c:v>7.74970700924048E8</c:v>
                </c:pt>
                <c:pt idx="3">
                  <c:v>9.50423076923077E8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5686248"/>
        <c:axId val="685488712"/>
      </c:scatterChart>
      <c:valAx>
        <c:axId val="685686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Hours post infection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685488712"/>
        <c:crosses val="autoZero"/>
        <c:crossBetween val="midCat"/>
      </c:valAx>
      <c:valAx>
        <c:axId val="685488712"/>
        <c:scaling>
          <c:logBase val="10.0"/>
          <c:orientation val="minMax"/>
          <c:min val="100000.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Virus Concentration (viruses/mL)</a:t>
                </a:r>
              </a:p>
            </c:rich>
          </c:tx>
          <c:layout/>
          <c:overlay val="0"/>
        </c:title>
        <c:numFmt formatCode="0.00E+00" sourceLinked="1"/>
        <c:majorTickMark val="out"/>
        <c:minorTickMark val="none"/>
        <c:tickLblPos val="nextTo"/>
        <c:crossAx val="68568624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34</xdr:row>
      <xdr:rowOff>63500</xdr:rowOff>
    </xdr:from>
    <xdr:to>
      <xdr:col>7</xdr:col>
      <xdr:colOff>38100</xdr:colOff>
      <xdr:row>57</xdr:row>
      <xdr:rowOff>25400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zoomScale="125" zoomScaleNormal="125" zoomScalePageLayoutView="125" workbookViewId="0">
      <selection activeCell="D36" sqref="D36"/>
    </sheetView>
  </sheetViews>
  <sheetFormatPr baseColWidth="10" defaultRowHeight="13" x14ac:dyDescent="0"/>
  <cols>
    <col min="1" max="1" width="15.7109375" customWidth="1"/>
    <col min="2" max="2" width="10.85546875" customWidth="1"/>
    <col min="9" max="9" width="11.85546875" style="8" customWidth="1"/>
    <col min="10" max="10" width="12" customWidth="1"/>
    <col min="12" max="12" width="13.42578125" customWidth="1"/>
  </cols>
  <sheetData>
    <row r="1" spans="1:13" s="12" customFormat="1" ht="15">
      <c r="A1" s="12" t="s">
        <v>88</v>
      </c>
    </row>
    <row r="2" spans="1:13" s="12" customFormat="1" ht="15">
      <c r="A2" s="12" t="s">
        <v>34</v>
      </c>
    </row>
    <row r="3" spans="1:13" s="12" customFormat="1" ht="15"/>
    <row r="4" spans="1:13" s="12" customFormat="1" ht="15">
      <c r="A4" s="12" t="s">
        <v>35</v>
      </c>
      <c r="B4" s="12" t="s">
        <v>52</v>
      </c>
    </row>
    <row r="5" spans="1:13" s="12" customFormat="1" ht="15">
      <c r="A5" s="12" t="s">
        <v>53</v>
      </c>
    </row>
    <row r="6" spans="1:13" s="7" customFormat="1">
      <c r="I6" s="8"/>
    </row>
    <row r="7" spans="1:13" s="16" customFormat="1">
      <c r="A7" s="16" t="s">
        <v>77</v>
      </c>
    </row>
    <row r="8" spans="1:13" s="13" customFormat="1">
      <c r="J8" s="13" t="s">
        <v>48</v>
      </c>
      <c r="L8" s="13" t="s">
        <v>49</v>
      </c>
    </row>
    <row r="9" spans="1:13">
      <c r="A9" t="s">
        <v>40</v>
      </c>
      <c r="B9" t="s">
        <v>47</v>
      </c>
      <c r="C9" t="s">
        <v>7</v>
      </c>
      <c r="D9" t="s">
        <v>10</v>
      </c>
      <c r="E9" t="s">
        <v>8</v>
      </c>
      <c r="F9" t="s">
        <v>9</v>
      </c>
      <c r="G9" t="s">
        <v>11</v>
      </c>
      <c r="I9" s="8" t="s">
        <v>40</v>
      </c>
      <c r="J9" t="s">
        <v>78</v>
      </c>
      <c r="K9" t="s">
        <v>43</v>
      </c>
      <c r="L9" t="s">
        <v>78</v>
      </c>
      <c r="M9" t="s">
        <v>43</v>
      </c>
    </row>
    <row r="10" spans="1:13">
      <c r="A10">
        <v>0</v>
      </c>
      <c r="B10" s="4">
        <v>413000</v>
      </c>
      <c r="C10" s="4">
        <v>413000</v>
      </c>
      <c r="D10" s="4">
        <v>413000</v>
      </c>
      <c r="E10" s="4">
        <v>413000</v>
      </c>
      <c r="F10" s="4">
        <v>413000</v>
      </c>
      <c r="G10" s="4">
        <v>413000</v>
      </c>
      <c r="I10" s="8">
        <v>0</v>
      </c>
      <c r="J10">
        <f>STDEV(B10:C10)</f>
        <v>0</v>
      </c>
      <c r="K10" s="4">
        <v>0</v>
      </c>
      <c r="L10" s="4">
        <v>0</v>
      </c>
      <c r="M10" s="4">
        <v>0</v>
      </c>
    </row>
    <row r="11" spans="1:13">
      <c r="A11">
        <v>24</v>
      </c>
      <c r="B11" s="4">
        <v>1100000</v>
      </c>
      <c r="C11" s="4">
        <v>1070000</v>
      </c>
      <c r="D11" s="4">
        <f>AVERAGE(B11,C11)</f>
        <v>1085000</v>
      </c>
      <c r="E11" s="4">
        <f>880000</f>
        <v>880000</v>
      </c>
      <c r="F11" s="4">
        <f>835000</f>
        <v>835000</v>
      </c>
      <c r="G11" s="4">
        <f>AVERAGE(E11,F11)</f>
        <v>857500</v>
      </c>
      <c r="I11" s="8">
        <v>24</v>
      </c>
      <c r="J11">
        <f>STDEV(B11:C11)</f>
        <v>21213.203435596424</v>
      </c>
      <c r="K11">
        <f>J11/(SQRT(2))</f>
        <v>14999.999999999998</v>
      </c>
      <c r="L11">
        <f>STDEV(E11:F11)</f>
        <v>31819.805153394638</v>
      </c>
      <c r="M11">
        <f>L11/(SQRT(2))</f>
        <v>22499.999999999996</v>
      </c>
    </row>
    <row r="12" spans="1:13">
      <c r="A12">
        <v>48</v>
      </c>
      <c r="B12" s="4">
        <f>2300000</f>
        <v>2300000</v>
      </c>
      <c r="C12" s="4">
        <f>2400000</f>
        <v>2400000</v>
      </c>
      <c r="D12" s="4">
        <f>AVERAGE(B12,C12)</f>
        <v>2350000</v>
      </c>
      <c r="E12" s="4">
        <f>877000</f>
        <v>877000</v>
      </c>
      <c r="F12" s="4">
        <f>730000</f>
        <v>730000</v>
      </c>
      <c r="G12" s="4">
        <f>AVERAGE(E12,F12)</f>
        <v>803500</v>
      </c>
      <c r="I12" s="8">
        <v>48</v>
      </c>
      <c r="J12">
        <f>STDEV(B12:C12)</f>
        <v>70710.67811865476</v>
      </c>
      <c r="K12">
        <f t="shared" ref="K12:K13" si="0">J12/(SQRT(2))</f>
        <v>50000</v>
      </c>
      <c r="L12">
        <f>STDEV(E12:F12)</f>
        <v>103944.69683442249</v>
      </c>
      <c r="M12">
        <f t="shared" ref="M12:M13" si="1">L12/(SQRT(2))</f>
        <v>73500</v>
      </c>
    </row>
    <row r="13" spans="1:13">
      <c r="A13">
        <v>72</v>
      </c>
      <c r="B13" s="4">
        <f>3700000</f>
        <v>3700000</v>
      </c>
      <c r="C13" s="4">
        <f>4200000</f>
        <v>4200000</v>
      </c>
      <c r="D13" s="4">
        <f>AVERAGE(B13,C13)</f>
        <v>3950000</v>
      </c>
      <c r="E13" s="4">
        <f>360000</f>
        <v>360000</v>
      </c>
      <c r="F13" s="4">
        <f>290000</f>
        <v>290000</v>
      </c>
      <c r="G13" s="4">
        <f>AVERAGE(E13,F13)</f>
        <v>325000</v>
      </c>
      <c r="I13" s="8">
        <v>72</v>
      </c>
      <c r="J13">
        <f>STDEV(B13:C13)</f>
        <v>353553.39059327374</v>
      </c>
      <c r="K13">
        <f t="shared" si="0"/>
        <v>249999.99999999997</v>
      </c>
      <c r="L13">
        <f>STDEV(E13:F13)</f>
        <v>49497.474683058324</v>
      </c>
      <c r="M13">
        <f t="shared" si="1"/>
        <v>34999.999999999993</v>
      </c>
    </row>
  </sheetData>
  <phoneticPr fontId="2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="125" zoomScaleNormal="125" zoomScalePageLayoutView="125" workbookViewId="0">
      <selection activeCell="D37" sqref="D37"/>
    </sheetView>
  </sheetViews>
  <sheetFormatPr baseColWidth="10" defaultRowHeight="13" x14ac:dyDescent="0"/>
  <cols>
    <col min="3" max="3" width="10.7109375" style="1"/>
    <col min="6" max="6" width="10.7109375" style="7"/>
    <col min="8" max="8" width="10.7109375" style="7"/>
    <col min="14" max="14" width="10.7109375" style="7"/>
  </cols>
  <sheetData>
    <row r="1" spans="1:15" s="10" customFormat="1">
      <c r="A1" s="16" t="s">
        <v>15</v>
      </c>
    </row>
    <row r="2" spans="1:15" s="10" customFormat="1">
      <c r="A2" s="10" t="s">
        <v>44</v>
      </c>
    </row>
    <row r="3" spans="1:15" s="7" customFormat="1">
      <c r="C3" s="1"/>
    </row>
    <row r="5" spans="1:15">
      <c r="A5" s="15" t="s">
        <v>16</v>
      </c>
    </row>
    <row r="6" spans="1:15" s="7" customFormat="1">
      <c r="A6" s="2" t="s">
        <v>38</v>
      </c>
      <c r="C6" s="1"/>
      <c r="I6" s="2" t="s">
        <v>39</v>
      </c>
    </row>
    <row r="7" spans="1:15">
      <c r="A7" t="s">
        <v>40</v>
      </c>
      <c r="B7" t="s">
        <v>24</v>
      </c>
      <c r="C7" s="1" t="s">
        <v>79</v>
      </c>
      <c r="D7" t="s">
        <v>71</v>
      </c>
      <c r="E7" t="s">
        <v>80</v>
      </c>
      <c r="F7"/>
      <c r="I7" t="s">
        <v>40</v>
      </c>
      <c r="J7" t="s">
        <v>25</v>
      </c>
      <c r="K7" t="s">
        <v>81</v>
      </c>
      <c r="L7" t="s">
        <v>25</v>
      </c>
      <c r="M7" t="s">
        <v>82</v>
      </c>
      <c r="N7"/>
    </row>
    <row r="8" spans="1:15">
      <c r="A8">
        <v>1</v>
      </c>
      <c r="B8">
        <v>16.600000000000001</v>
      </c>
      <c r="C8" s="1">
        <v>52.8</v>
      </c>
      <c r="D8">
        <v>13.7</v>
      </c>
      <c r="E8">
        <v>49.8</v>
      </c>
      <c r="F8"/>
      <c r="I8">
        <v>1</v>
      </c>
      <c r="J8">
        <f>14</f>
        <v>14</v>
      </c>
      <c r="K8">
        <v>50.3</v>
      </c>
      <c r="L8">
        <v>13.7</v>
      </c>
      <c r="M8">
        <v>47.7</v>
      </c>
      <c r="N8"/>
    </row>
    <row r="9" spans="1:15">
      <c r="A9">
        <v>6</v>
      </c>
      <c r="B9">
        <v>13</v>
      </c>
      <c r="C9" s="1">
        <v>34.799999999999997</v>
      </c>
      <c r="D9">
        <v>15</v>
      </c>
      <c r="E9">
        <v>36.6</v>
      </c>
      <c r="F9"/>
      <c r="I9">
        <v>6</v>
      </c>
      <c r="J9">
        <v>15.3</v>
      </c>
      <c r="K9">
        <v>36</v>
      </c>
      <c r="L9">
        <v>13.9</v>
      </c>
      <c r="M9">
        <f>40.2</f>
        <v>40.200000000000003</v>
      </c>
      <c r="N9"/>
    </row>
    <row r="10" spans="1:15">
      <c r="A10">
        <v>24</v>
      </c>
      <c r="B10">
        <v>19.600000000000001</v>
      </c>
      <c r="C10" s="1">
        <v>40.299999999999997</v>
      </c>
      <c r="D10">
        <v>14.2</v>
      </c>
      <c r="E10">
        <v>32.1</v>
      </c>
      <c r="F10"/>
      <c r="I10">
        <v>24</v>
      </c>
      <c r="J10">
        <v>15.5</v>
      </c>
      <c r="K10">
        <v>51.9</v>
      </c>
      <c r="L10">
        <f>16.2</f>
        <v>16.2</v>
      </c>
      <c r="M10">
        <v>55.9</v>
      </c>
      <c r="N10"/>
    </row>
    <row r="11" spans="1:15">
      <c r="A11">
        <v>48</v>
      </c>
      <c r="B11">
        <f>12.2</f>
        <v>12.2</v>
      </c>
      <c r="C11" s="1">
        <v>19.2</v>
      </c>
      <c r="D11">
        <v>12.9</v>
      </c>
      <c r="E11">
        <v>19.600000000000001</v>
      </c>
      <c r="F11"/>
      <c r="I11">
        <v>48</v>
      </c>
      <c r="J11">
        <v>24</v>
      </c>
      <c r="K11">
        <v>60.2</v>
      </c>
      <c r="L11">
        <v>25.8</v>
      </c>
      <c r="M11">
        <v>64.599999999999994</v>
      </c>
      <c r="N11"/>
    </row>
    <row r="12" spans="1:15">
      <c r="A12">
        <v>72</v>
      </c>
      <c r="B12">
        <v>9.85</v>
      </c>
      <c r="C12" s="1">
        <v>16.899999999999999</v>
      </c>
      <c r="D12">
        <v>9.85</v>
      </c>
      <c r="E12">
        <v>17.3</v>
      </c>
      <c r="F12"/>
      <c r="I12">
        <v>72</v>
      </c>
      <c r="J12">
        <f>15.6</f>
        <v>15.6</v>
      </c>
      <c r="K12">
        <v>29.7</v>
      </c>
      <c r="L12">
        <v>15</v>
      </c>
      <c r="M12">
        <v>32.200000000000003</v>
      </c>
      <c r="N12"/>
    </row>
    <row r="13" spans="1:15" s="7" customFormat="1">
      <c r="A13" s="14"/>
      <c r="B13" s="9" t="s">
        <v>72</v>
      </c>
      <c r="C13" s="2"/>
      <c r="D13" s="2" t="s">
        <v>73</v>
      </c>
      <c r="E13" s="2"/>
      <c r="F13" s="2" t="s">
        <v>85</v>
      </c>
      <c r="J13" s="2" t="s">
        <v>74</v>
      </c>
      <c r="K13" s="2"/>
      <c r="L13" s="2" t="s">
        <v>75</v>
      </c>
      <c r="M13" s="2"/>
      <c r="N13" s="2" t="s">
        <v>42</v>
      </c>
      <c r="O13" s="2"/>
    </row>
    <row r="14" spans="1:15">
      <c r="A14">
        <v>1</v>
      </c>
      <c r="B14" s="1">
        <f>C8-B8</f>
        <v>36.199999999999996</v>
      </c>
      <c r="C14"/>
      <c r="D14">
        <f>E8-D8</f>
        <v>36.099999999999994</v>
      </c>
      <c r="E14" s="7"/>
      <c r="F14">
        <f>AVERAGE(B14,D14)</f>
        <v>36.149999999999991</v>
      </c>
      <c r="I14">
        <v>1</v>
      </c>
      <c r="J14">
        <f>K8-J8</f>
        <v>36.299999999999997</v>
      </c>
      <c r="L14">
        <f>M8-L8</f>
        <v>34</v>
      </c>
      <c r="M14" s="7"/>
      <c r="N14">
        <f>AVERAGE(J14,L14)</f>
        <v>35.15</v>
      </c>
    </row>
    <row r="15" spans="1:15">
      <c r="A15">
        <v>6</v>
      </c>
      <c r="B15" s="1">
        <f>C9-B9</f>
        <v>21.799999999999997</v>
      </c>
      <c r="C15"/>
      <c r="D15">
        <f>E9-D9</f>
        <v>21.6</v>
      </c>
      <c r="E15" s="7"/>
      <c r="F15">
        <f t="shared" ref="F15:F17" si="0">AVERAGE(B15,D15)</f>
        <v>21.7</v>
      </c>
      <c r="I15">
        <v>6</v>
      </c>
      <c r="J15">
        <f>K9-J9</f>
        <v>20.7</v>
      </c>
      <c r="L15">
        <f>M9-L9</f>
        <v>26.300000000000004</v>
      </c>
      <c r="M15" s="7"/>
      <c r="N15">
        <f t="shared" ref="N15:N18" si="1">AVERAGE(J15,L15)</f>
        <v>23.5</v>
      </c>
    </row>
    <row r="16" spans="1:15">
      <c r="A16">
        <v>24</v>
      </c>
      <c r="B16" s="1">
        <f>C10-B10</f>
        <v>20.699999999999996</v>
      </c>
      <c r="C16"/>
      <c r="D16">
        <f>E10-D10</f>
        <v>17.900000000000002</v>
      </c>
      <c r="E16" s="7"/>
      <c r="F16">
        <f t="shared" si="0"/>
        <v>19.299999999999997</v>
      </c>
      <c r="I16">
        <v>24</v>
      </c>
      <c r="J16">
        <f>K10-J10</f>
        <v>36.4</v>
      </c>
      <c r="L16">
        <f>M10-L10</f>
        <v>39.700000000000003</v>
      </c>
      <c r="M16" s="7"/>
      <c r="N16">
        <f t="shared" si="1"/>
        <v>38.049999999999997</v>
      </c>
    </row>
    <row r="17" spans="1:14">
      <c r="A17">
        <v>48</v>
      </c>
      <c r="B17" s="1">
        <f>C11-B11</f>
        <v>7</v>
      </c>
      <c r="C17"/>
      <c r="D17">
        <f>E11-D11</f>
        <v>6.7000000000000011</v>
      </c>
      <c r="E17" s="7"/>
      <c r="F17">
        <f t="shared" si="0"/>
        <v>6.8500000000000005</v>
      </c>
      <c r="I17">
        <v>48</v>
      </c>
      <c r="J17">
        <f>K11-J11</f>
        <v>36.200000000000003</v>
      </c>
      <c r="L17">
        <f>M11-L11</f>
        <v>38.799999999999997</v>
      </c>
      <c r="M17" s="7"/>
      <c r="N17">
        <f t="shared" si="1"/>
        <v>37.5</v>
      </c>
    </row>
    <row r="18" spans="1:14">
      <c r="A18">
        <v>72</v>
      </c>
      <c r="B18" s="1">
        <f>C12-B12</f>
        <v>7.0499999999999989</v>
      </c>
      <c r="C18"/>
      <c r="D18">
        <f>E12-D12</f>
        <v>7.4500000000000011</v>
      </c>
      <c r="E18" s="7"/>
      <c r="F18">
        <f>AVERAGE(B18,D18)</f>
        <v>7.25</v>
      </c>
      <c r="I18">
        <v>72</v>
      </c>
      <c r="J18">
        <f>K12-J12</f>
        <v>14.1</v>
      </c>
      <c r="L18">
        <f>M12-L12</f>
        <v>17.200000000000003</v>
      </c>
      <c r="M18" s="7"/>
      <c r="N18">
        <f t="shared" si="1"/>
        <v>15.650000000000002</v>
      </c>
    </row>
    <row r="22" spans="1:14">
      <c r="B22" t="s">
        <v>48</v>
      </c>
      <c r="C22"/>
      <c r="D22" t="s">
        <v>49</v>
      </c>
      <c r="E22" s="7"/>
      <c r="F22"/>
    </row>
    <row r="23" spans="1:14">
      <c r="A23" t="s">
        <v>40</v>
      </c>
      <c r="B23" s="13" t="s">
        <v>78</v>
      </c>
      <c r="C23" t="s">
        <v>43</v>
      </c>
      <c r="D23" t="s">
        <v>78</v>
      </c>
      <c r="E23" t="s">
        <v>43</v>
      </c>
      <c r="F23"/>
    </row>
    <row r="24" spans="1:14">
      <c r="A24">
        <v>1</v>
      </c>
      <c r="B24">
        <f>STDEV(B14,D14)</f>
        <v>7.0710678118655765E-2</v>
      </c>
      <c r="C24">
        <f>B24/(SQRT(2))</f>
        <v>5.0000000000000711E-2</v>
      </c>
      <c r="D24">
        <f>STDEV(J14,L14)</f>
        <v>1.6263455967290572</v>
      </c>
      <c r="E24">
        <v>1.1499999999999999</v>
      </c>
      <c r="F24"/>
    </row>
    <row r="25" spans="1:14">
      <c r="A25">
        <v>6</v>
      </c>
      <c r="B25">
        <f>STDEV(B15,D15)</f>
        <v>0.14142135623730648</v>
      </c>
      <c r="C25">
        <f t="shared" ref="C25:C28" si="2">B25/(SQRT(2))</f>
        <v>9.9999999999997854E-2</v>
      </c>
      <c r="D25">
        <f>STDEV(J15,L15)</f>
        <v>3.9597979746446743</v>
      </c>
      <c r="E25">
        <v>2.8</v>
      </c>
      <c r="F25"/>
    </row>
    <row r="26" spans="1:14">
      <c r="A26">
        <v>24</v>
      </c>
      <c r="B26">
        <f>STDEV(B16,D16)</f>
        <v>1.9798989873223285</v>
      </c>
      <c r="C26">
        <f t="shared" si="2"/>
        <v>1.3999999999999966</v>
      </c>
      <c r="D26">
        <f>STDEV(J16,L16)</f>
        <v>2.3334523779156098</v>
      </c>
      <c r="E26">
        <v>1.65</v>
      </c>
      <c r="F26"/>
    </row>
    <row r="27" spans="1:14">
      <c r="A27">
        <v>48</v>
      </c>
      <c r="B27">
        <f>STDEV(B17,D17)</f>
        <v>0.21213203435596351</v>
      </c>
      <c r="C27">
        <f t="shared" si="2"/>
        <v>0.14999999999999947</v>
      </c>
      <c r="D27">
        <f>STDEV(J17,L17)</f>
        <v>1.8384776310850195</v>
      </c>
      <c r="E27">
        <v>1.3</v>
      </c>
      <c r="F27"/>
    </row>
    <row r="28" spans="1:14">
      <c r="A28">
        <v>72</v>
      </c>
      <c r="B28">
        <f>STDEV(B18,D18)</f>
        <v>0.28284271247462051</v>
      </c>
      <c r="C28">
        <f t="shared" si="2"/>
        <v>0.20000000000000104</v>
      </c>
      <c r="D28">
        <f>STDEV(J18,L18)</f>
        <v>2.1920310216782997</v>
      </c>
      <c r="E28">
        <v>1.55</v>
      </c>
      <c r="F28"/>
    </row>
    <row r="32" spans="1:14" s="13" customFormat="1">
      <c r="A32" s="15" t="s">
        <v>76</v>
      </c>
    </row>
    <row r="33" spans="1:8">
      <c r="A33" t="s">
        <v>40</v>
      </c>
      <c r="B33" t="s">
        <v>26</v>
      </c>
      <c r="C33" s="1" t="s">
        <v>27</v>
      </c>
      <c r="D33" t="s">
        <v>19</v>
      </c>
      <c r="F33" s="7" t="s">
        <v>20</v>
      </c>
      <c r="G33" t="s">
        <v>22</v>
      </c>
      <c r="H33" s="7" t="s">
        <v>23</v>
      </c>
    </row>
    <row r="34" spans="1:8">
      <c r="A34">
        <v>1</v>
      </c>
      <c r="B34">
        <f>49.5-6.76</f>
        <v>42.74</v>
      </c>
      <c r="C34" s="1">
        <f>46.4-6.35</f>
        <v>40.049999999999997</v>
      </c>
      <c r="D34">
        <f>AVERAGE(B34:C34)</f>
        <v>41.394999999999996</v>
      </c>
      <c r="E34" s="7"/>
      <c r="F34">
        <f>48.8-6.65</f>
        <v>42.15</v>
      </c>
      <c r="G34">
        <f>46-6.09</f>
        <v>39.909999999999997</v>
      </c>
      <c r="H34">
        <f>AVERAGE(F34:G34)</f>
        <v>41.03</v>
      </c>
    </row>
    <row r="35" spans="1:8">
      <c r="A35">
        <v>6</v>
      </c>
      <c r="B35">
        <f>40.8-0.73</f>
        <v>40.07</v>
      </c>
      <c r="C35" s="1">
        <f>44.2-4.52</f>
        <v>39.680000000000007</v>
      </c>
      <c r="D35">
        <f t="shared" ref="D35:D38" si="3">AVERAGE(B35:C35)</f>
        <v>39.875</v>
      </c>
      <c r="E35" s="7"/>
      <c r="F35">
        <f>43.4-6.34</f>
        <v>37.06</v>
      </c>
      <c r="G35">
        <f>47.1-3.41</f>
        <v>43.69</v>
      </c>
      <c r="H35">
        <f>AVERAGE(F35:G35)</f>
        <v>40.375</v>
      </c>
    </row>
    <row r="36" spans="1:8">
      <c r="A36">
        <v>24</v>
      </c>
      <c r="B36">
        <f>15.7-2.15</f>
        <v>13.549999999999999</v>
      </c>
      <c r="C36" s="1">
        <f>38.1-4.44</f>
        <v>33.660000000000004</v>
      </c>
      <c r="D36">
        <f t="shared" si="3"/>
        <v>23.605</v>
      </c>
      <c r="E36" s="7"/>
      <c r="F36">
        <f>50-5.37</f>
        <v>44.63</v>
      </c>
      <c r="G36">
        <f>50.4-7.05</f>
        <v>43.35</v>
      </c>
      <c r="H36">
        <f>AVERAGE(F36:G36)</f>
        <v>43.99</v>
      </c>
    </row>
    <row r="37" spans="1:8">
      <c r="A37">
        <v>48</v>
      </c>
      <c r="B37">
        <f>2.96-0.5</f>
        <v>2.46</v>
      </c>
      <c r="C37" s="1">
        <f>7.76-2.31</f>
        <v>5.4499999999999993</v>
      </c>
      <c r="D37">
        <f t="shared" si="3"/>
        <v>3.9549999999999996</v>
      </c>
      <c r="E37" s="7"/>
      <c r="F37">
        <f>54.6-19</f>
        <v>35.6</v>
      </c>
      <c r="G37">
        <f>59.2-21.3</f>
        <v>37.900000000000006</v>
      </c>
      <c r="H37">
        <f>AVERAGE(F37:G37)</f>
        <v>36.75</v>
      </c>
    </row>
    <row r="38" spans="1:8">
      <c r="A38">
        <v>72</v>
      </c>
      <c r="B38">
        <f>4.13-2.06</f>
        <v>2.0699999999999998</v>
      </c>
      <c r="C38" s="1">
        <f>4.45-2.06</f>
        <v>2.39</v>
      </c>
      <c r="D38">
        <f t="shared" si="3"/>
        <v>2.23</v>
      </c>
      <c r="E38" s="7"/>
      <c r="F38">
        <f>32.7-21.1</f>
        <v>11.600000000000001</v>
      </c>
      <c r="G38">
        <f>32.2-26.1</f>
        <v>6.1000000000000014</v>
      </c>
      <c r="H38">
        <f>AVERAGE(F38:G38)</f>
        <v>8.8500000000000014</v>
      </c>
    </row>
    <row r="41" spans="1:8">
      <c r="B41" t="s">
        <v>48</v>
      </c>
      <c r="C41"/>
      <c r="D41" t="s">
        <v>49</v>
      </c>
    </row>
    <row r="42" spans="1:8">
      <c r="A42" t="s">
        <v>40</v>
      </c>
      <c r="B42" t="s">
        <v>87</v>
      </c>
      <c r="C42" t="s">
        <v>43</v>
      </c>
      <c r="D42" t="s">
        <v>78</v>
      </c>
      <c r="E42" t="s">
        <v>43</v>
      </c>
    </row>
    <row r="43" spans="1:8">
      <c r="A43">
        <v>1</v>
      </c>
      <c r="B43">
        <v>7.0710677999999999E-2</v>
      </c>
      <c r="C43">
        <v>0.05</v>
      </c>
      <c r="D43">
        <v>1.626345597</v>
      </c>
      <c r="E43">
        <v>1.1499999999999999</v>
      </c>
    </row>
    <row r="44" spans="1:8">
      <c r="A44">
        <v>6</v>
      </c>
      <c r="B44">
        <v>0.141421356</v>
      </c>
      <c r="C44">
        <v>0.1</v>
      </c>
      <c r="D44">
        <v>3.9597979749999999</v>
      </c>
      <c r="E44">
        <v>2.8</v>
      </c>
    </row>
    <row r="45" spans="1:8">
      <c r="A45">
        <v>24</v>
      </c>
      <c r="B45">
        <v>1.9798989870000001</v>
      </c>
      <c r="C45">
        <v>1.4</v>
      </c>
      <c r="D45">
        <v>2.333452378</v>
      </c>
      <c r="E45">
        <v>1.65</v>
      </c>
    </row>
    <row r="46" spans="1:8">
      <c r="A46">
        <v>48</v>
      </c>
      <c r="B46">
        <v>0.212132034</v>
      </c>
      <c r="C46">
        <v>0.15</v>
      </c>
      <c r="D46">
        <v>1.8384776309999999</v>
      </c>
      <c r="E46">
        <v>1.3</v>
      </c>
    </row>
    <row r="47" spans="1:8">
      <c r="A47">
        <v>72</v>
      </c>
      <c r="B47">
        <v>7.2478445069999999</v>
      </c>
      <c r="C47">
        <v>5.125</v>
      </c>
      <c r="D47">
        <v>2.1920310220000001</v>
      </c>
      <c r="E47">
        <v>1.55</v>
      </c>
    </row>
    <row r="56" spans="14:14">
      <c r="N56"/>
    </row>
    <row r="57" spans="14:14">
      <c r="N57"/>
    </row>
    <row r="58" spans="14:14">
      <c r="N58"/>
    </row>
    <row r="59" spans="14:14">
      <c r="N59"/>
    </row>
    <row r="60" spans="14:14">
      <c r="N60"/>
    </row>
    <row r="61" spans="14:14">
      <c r="N61"/>
    </row>
    <row r="62" spans="14:14">
      <c r="N62"/>
    </row>
  </sheetData>
  <phoneticPr fontId="2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zoomScale="125" zoomScaleNormal="125" zoomScalePageLayoutView="125" workbookViewId="0">
      <selection activeCell="B39" sqref="B39"/>
    </sheetView>
  </sheetViews>
  <sheetFormatPr baseColWidth="10" defaultRowHeight="13" x14ac:dyDescent="0"/>
  <cols>
    <col min="3" max="3" width="9.140625" customWidth="1"/>
    <col min="5" max="5" width="9" customWidth="1"/>
    <col min="7" max="7" width="10.7109375" style="13"/>
  </cols>
  <sheetData>
    <row r="1" spans="1:14" s="10" customFormat="1">
      <c r="A1" s="16" t="s">
        <v>30</v>
      </c>
    </row>
    <row r="2" spans="1:14" s="10" customFormat="1">
      <c r="A2" s="10" t="s">
        <v>44</v>
      </c>
    </row>
    <row r="3" spans="1:14" s="13" customFormat="1"/>
    <row r="4" spans="1:14">
      <c r="C4" s="1"/>
    </row>
    <row r="5" spans="1:14" s="2" customFormat="1">
      <c r="A5" s="15" t="s">
        <v>16</v>
      </c>
      <c r="C5" s="9"/>
    </row>
    <row r="6" spans="1:14" s="2" customFormat="1">
      <c r="A6" s="2" t="s">
        <v>38</v>
      </c>
      <c r="C6" s="9"/>
      <c r="I6" s="2" t="s">
        <v>49</v>
      </c>
    </row>
    <row r="7" spans="1:14">
      <c r="A7" t="s">
        <v>40</v>
      </c>
      <c r="B7" t="s">
        <v>24</v>
      </c>
      <c r="C7" s="1" t="s">
        <v>79</v>
      </c>
      <c r="D7" t="s">
        <v>71</v>
      </c>
      <c r="E7" t="s">
        <v>80</v>
      </c>
      <c r="I7" t="s">
        <v>40</v>
      </c>
      <c r="J7" t="s">
        <v>25</v>
      </c>
      <c r="K7" t="s">
        <v>83</v>
      </c>
      <c r="L7" t="s">
        <v>25</v>
      </c>
      <c r="M7" t="s">
        <v>84</v>
      </c>
    </row>
    <row r="8" spans="1:14">
      <c r="A8">
        <v>1</v>
      </c>
      <c r="B8">
        <v>16.600000000000001</v>
      </c>
      <c r="C8">
        <v>13.8</v>
      </c>
      <c r="D8">
        <v>13.7</v>
      </c>
      <c r="E8">
        <v>12.8</v>
      </c>
      <c r="I8">
        <v>1</v>
      </c>
      <c r="J8">
        <f>14</f>
        <v>14</v>
      </c>
      <c r="K8">
        <v>13.5</v>
      </c>
      <c r="L8">
        <v>13.7</v>
      </c>
      <c r="M8">
        <v>13.3</v>
      </c>
    </row>
    <row r="9" spans="1:14">
      <c r="A9">
        <v>6</v>
      </c>
      <c r="B9">
        <v>13</v>
      </c>
      <c r="C9">
        <v>13.8</v>
      </c>
      <c r="D9">
        <v>15</v>
      </c>
      <c r="E9">
        <v>15</v>
      </c>
      <c r="I9">
        <v>6</v>
      </c>
      <c r="J9">
        <v>15.3</v>
      </c>
      <c r="K9">
        <v>14.5</v>
      </c>
      <c r="L9">
        <v>13.9</v>
      </c>
      <c r="M9">
        <v>14.6</v>
      </c>
    </row>
    <row r="10" spans="1:14">
      <c r="A10">
        <v>24</v>
      </c>
      <c r="B10">
        <v>19.600000000000001</v>
      </c>
      <c r="C10">
        <v>13.4</v>
      </c>
      <c r="D10">
        <v>14.2</v>
      </c>
      <c r="E10">
        <v>12.7</v>
      </c>
      <c r="I10">
        <v>24</v>
      </c>
      <c r="J10">
        <v>15.5</v>
      </c>
      <c r="K10">
        <v>14.7</v>
      </c>
      <c r="L10">
        <f>16.2</f>
        <v>16.2</v>
      </c>
      <c r="M10">
        <v>16.8</v>
      </c>
    </row>
    <row r="11" spans="1:14">
      <c r="A11">
        <v>48</v>
      </c>
      <c r="B11">
        <f>12.2</f>
        <v>12.2</v>
      </c>
      <c r="C11">
        <v>12.7</v>
      </c>
      <c r="D11">
        <v>12.9</v>
      </c>
      <c r="E11">
        <v>12.8</v>
      </c>
      <c r="I11">
        <v>48</v>
      </c>
      <c r="J11">
        <v>24</v>
      </c>
      <c r="K11">
        <v>27</v>
      </c>
      <c r="L11">
        <v>25.8</v>
      </c>
      <c r="M11">
        <v>30.1</v>
      </c>
    </row>
    <row r="12" spans="1:14">
      <c r="A12">
        <v>72</v>
      </c>
      <c r="B12">
        <v>9.85</v>
      </c>
      <c r="C12">
        <v>10.3</v>
      </c>
      <c r="D12">
        <v>9.85</v>
      </c>
      <c r="E12">
        <v>9.25</v>
      </c>
      <c r="I12">
        <v>72</v>
      </c>
      <c r="J12">
        <f>15.6</f>
        <v>15.6</v>
      </c>
      <c r="K12">
        <v>41.6</v>
      </c>
      <c r="L12">
        <v>15</v>
      </c>
      <c r="M12">
        <v>47.9</v>
      </c>
    </row>
    <row r="13" spans="1:14" s="2" customFormat="1">
      <c r="B13" s="2" t="s">
        <v>36</v>
      </c>
      <c r="D13" s="2" t="s">
        <v>37</v>
      </c>
      <c r="F13" s="2" t="s">
        <v>85</v>
      </c>
      <c r="J13" s="2" t="s">
        <v>45</v>
      </c>
      <c r="L13" s="2" t="s">
        <v>41</v>
      </c>
      <c r="N13" s="2" t="s">
        <v>42</v>
      </c>
    </row>
    <row r="14" spans="1:14">
      <c r="A14">
        <v>1</v>
      </c>
      <c r="B14">
        <f>C8-B8</f>
        <v>-2.8000000000000007</v>
      </c>
      <c r="D14">
        <f>E8-D8</f>
        <v>-0.89999999999999858</v>
      </c>
      <c r="F14">
        <f>AVERAGE(B14,D14)</f>
        <v>-1.8499999999999996</v>
      </c>
      <c r="I14">
        <v>1</v>
      </c>
      <c r="J14">
        <f>K8-J8</f>
        <v>-0.5</v>
      </c>
      <c r="L14">
        <f>M8-L8</f>
        <v>-0.39999999999999858</v>
      </c>
      <c r="N14">
        <f>AVERAGE(J14,L14)</f>
        <v>-0.44999999999999929</v>
      </c>
    </row>
    <row r="15" spans="1:14">
      <c r="A15">
        <v>6</v>
      </c>
      <c r="B15">
        <f>C9-B9</f>
        <v>0.80000000000000071</v>
      </c>
      <c r="D15">
        <f>E9-D9</f>
        <v>0</v>
      </c>
      <c r="F15">
        <f>AVERAGE(B15,D15)</f>
        <v>0.40000000000000036</v>
      </c>
      <c r="I15">
        <v>6</v>
      </c>
      <c r="J15">
        <f>K9-J9</f>
        <v>-0.80000000000000071</v>
      </c>
      <c r="L15">
        <f>M9-L9</f>
        <v>0.69999999999999929</v>
      </c>
      <c r="N15">
        <f>AVERAGE(J15,L15)</f>
        <v>-5.0000000000000711E-2</v>
      </c>
    </row>
    <row r="16" spans="1:14">
      <c r="A16">
        <v>24</v>
      </c>
      <c r="B16">
        <f>C10-B10</f>
        <v>-6.2000000000000011</v>
      </c>
      <c r="D16">
        <f>E10-D10</f>
        <v>-1.5</v>
      </c>
      <c r="F16">
        <f>AVERAGE(B16,D16)</f>
        <v>-3.8500000000000005</v>
      </c>
      <c r="I16">
        <v>24</v>
      </c>
      <c r="J16">
        <f>K10-J10</f>
        <v>-0.80000000000000071</v>
      </c>
      <c r="L16">
        <f>M10-L10</f>
        <v>0.60000000000000142</v>
      </c>
      <c r="N16">
        <f>AVERAGE(J16,L16)</f>
        <v>-9.9999999999999645E-2</v>
      </c>
    </row>
    <row r="17" spans="1:14">
      <c r="A17">
        <v>48</v>
      </c>
      <c r="B17">
        <f>C11-B11</f>
        <v>0.5</v>
      </c>
      <c r="D17">
        <f>E11-D11</f>
        <v>-9.9999999999999645E-2</v>
      </c>
      <c r="F17">
        <f>AVERAGE(B17,D17)</f>
        <v>0.20000000000000018</v>
      </c>
      <c r="I17">
        <v>48</v>
      </c>
      <c r="J17">
        <f>K11-J11</f>
        <v>3</v>
      </c>
      <c r="L17">
        <f>M11-L11</f>
        <v>4.3000000000000007</v>
      </c>
      <c r="N17">
        <f>AVERAGE(J17,L17)</f>
        <v>3.6500000000000004</v>
      </c>
    </row>
    <row r="18" spans="1:14">
      <c r="A18">
        <v>72</v>
      </c>
      <c r="B18">
        <f>C12-B12</f>
        <v>0.45000000000000107</v>
      </c>
      <c r="D18">
        <f>E12-D12</f>
        <v>-0.59999999999999964</v>
      </c>
      <c r="F18">
        <f>AVERAGE(B18,D18)</f>
        <v>-7.4999999999999289E-2</v>
      </c>
      <c r="I18">
        <v>72</v>
      </c>
      <c r="J18">
        <f>K12-J12</f>
        <v>26</v>
      </c>
      <c r="L18">
        <f>M12-L12</f>
        <v>32.9</v>
      </c>
      <c r="N18">
        <f>AVERAGE(J18,L18)</f>
        <v>29.45</v>
      </c>
    </row>
    <row r="22" spans="1:14">
      <c r="B22" t="s">
        <v>48</v>
      </c>
      <c r="D22" t="s">
        <v>49</v>
      </c>
      <c r="G22"/>
    </row>
    <row r="23" spans="1:14">
      <c r="A23" t="s">
        <v>40</v>
      </c>
      <c r="B23" t="s">
        <v>78</v>
      </c>
      <c r="C23" t="s">
        <v>43</v>
      </c>
      <c r="D23" t="s">
        <v>78</v>
      </c>
      <c r="E23" t="s">
        <v>43</v>
      </c>
      <c r="G23"/>
    </row>
    <row r="24" spans="1:14">
      <c r="A24">
        <v>1</v>
      </c>
      <c r="B24">
        <f>STDEV(B14,D14)</f>
        <v>1.3435028842544421</v>
      </c>
      <c r="C24">
        <f>B24/SQRT(2)</f>
        <v>0.95000000000000118</v>
      </c>
      <c r="D24">
        <f>STDEV(J14,L14)</f>
        <v>7.0710678118655959E-2</v>
      </c>
      <c r="E24">
        <f>D24/(SQRT(2))</f>
        <v>5.0000000000000849E-2</v>
      </c>
      <c r="G24"/>
    </row>
    <row r="25" spans="1:14">
      <c r="A25">
        <v>6</v>
      </c>
      <c r="B25">
        <f>STDEV(B15,D15)</f>
        <v>0.56568542494923857</v>
      </c>
      <c r="C25">
        <f t="shared" ref="C25:C28" si="0">B25/SQRT(2)</f>
        <v>0.40000000000000036</v>
      </c>
      <c r="D25">
        <f>STDEV(J15,L15)</f>
        <v>1.0606601717798212</v>
      </c>
      <c r="E25">
        <f t="shared" ref="E25:E28" si="1">D25/(SQRT(2))</f>
        <v>0.74999999999999989</v>
      </c>
      <c r="G25"/>
    </row>
    <row r="26" spans="1:14">
      <c r="A26">
        <v>24</v>
      </c>
      <c r="B26">
        <f>STDEV(B16,D16)</f>
        <v>3.3234018715767744</v>
      </c>
      <c r="C26">
        <f t="shared" si="0"/>
        <v>2.3500000000000005</v>
      </c>
      <c r="D26">
        <f>STDEV(J16,L16)</f>
        <v>0.98994949366116802</v>
      </c>
      <c r="E26">
        <f t="shared" si="1"/>
        <v>0.70000000000000095</v>
      </c>
      <c r="G26"/>
    </row>
    <row r="27" spans="1:14">
      <c r="A27">
        <v>48</v>
      </c>
      <c r="B27">
        <f>STDEV(B17,D17)</f>
        <v>0.42426406871192829</v>
      </c>
      <c r="C27">
        <f t="shared" si="0"/>
        <v>0.29999999999999982</v>
      </c>
      <c r="D27">
        <f>STDEV(J17,L17)</f>
        <v>0.91923881554251119</v>
      </c>
      <c r="E27">
        <f t="shared" si="1"/>
        <v>0.64999999999999958</v>
      </c>
      <c r="G27"/>
    </row>
    <row r="28" spans="1:14">
      <c r="A28">
        <v>72</v>
      </c>
      <c r="B28">
        <f>STDEV(B18,D18)</f>
        <v>0.74246212024587543</v>
      </c>
      <c r="C28">
        <f t="shared" si="0"/>
        <v>0.52500000000000036</v>
      </c>
      <c r="D28">
        <f>STDEV(J18,L18)</f>
        <v>4.8790367901871612</v>
      </c>
      <c r="E28">
        <f t="shared" si="1"/>
        <v>3.4499999999999877</v>
      </c>
      <c r="G28"/>
    </row>
    <row r="29" spans="1:14">
      <c r="G29"/>
    </row>
    <row r="31" spans="1:14" s="15" customFormat="1">
      <c r="A31" s="15" t="s">
        <v>76</v>
      </c>
    </row>
    <row r="32" spans="1:14">
      <c r="A32" s="2" t="s">
        <v>40</v>
      </c>
      <c r="B32" s="2" t="s">
        <v>26</v>
      </c>
      <c r="C32" s="9" t="s">
        <v>27</v>
      </c>
      <c r="D32" s="2" t="s">
        <v>28</v>
      </c>
      <c r="E32" s="2"/>
      <c r="F32" s="2" t="s">
        <v>21</v>
      </c>
      <c r="G32" s="2" t="s">
        <v>29</v>
      </c>
      <c r="H32" s="2" t="s">
        <v>54</v>
      </c>
    </row>
    <row r="33" spans="1:15">
      <c r="A33">
        <v>1</v>
      </c>
      <c r="B33">
        <f>6.87-6.76</f>
        <v>0.11000000000000032</v>
      </c>
      <c r="C33">
        <f>5.03-6.35</f>
        <v>-1.3199999999999994</v>
      </c>
      <c r="D33">
        <f>AVERAGE(B33:C33)</f>
        <v>-0.60499999999999954</v>
      </c>
      <c r="F33">
        <f>5.75-6.65</f>
        <v>-0.90000000000000036</v>
      </c>
      <c r="G33">
        <f>4.93-6.09</f>
        <v>-1.1600000000000001</v>
      </c>
      <c r="H33">
        <f>AVERAGE(F33:G33)</f>
        <v>-1.0300000000000002</v>
      </c>
    </row>
    <row r="34" spans="1:15">
      <c r="A34">
        <v>6</v>
      </c>
      <c r="B34">
        <f>0.8-0.73</f>
        <v>7.0000000000000062E-2</v>
      </c>
      <c r="C34">
        <f>4.4-3.41</f>
        <v>0.99000000000000021</v>
      </c>
      <c r="D34">
        <f t="shared" ref="D34:D37" si="2">AVERAGE(B34:C34)</f>
        <v>0.53000000000000014</v>
      </c>
      <c r="F34">
        <f>4.75-6.34</f>
        <v>-1.5899999999999999</v>
      </c>
      <c r="G34">
        <f>4.4-3.41</f>
        <v>0.99000000000000021</v>
      </c>
      <c r="H34">
        <f>AVERAGE(F34:G34)</f>
        <v>-0.29999999999999982</v>
      </c>
    </row>
    <row r="35" spans="1:15">
      <c r="A35">
        <v>24</v>
      </c>
      <c r="B35">
        <f>2.17-2.15</f>
        <v>2.0000000000000018E-2</v>
      </c>
      <c r="C35">
        <f>3.65-4.44</f>
        <v>-0.79000000000000048</v>
      </c>
      <c r="D35">
        <f t="shared" si="2"/>
        <v>-0.38500000000000023</v>
      </c>
      <c r="F35">
        <f>4.89-5.37</f>
        <v>-0.48000000000000043</v>
      </c>
      <c r="G35">
        <f>6.92-4.44</f>
        <v>2.4799999999999995</v>
      </c>
      <c r="H35">
        <f>AVERAGE(F35:G35)</f>
        <v>0.99999999999999956</v>
      </c>
    </row>
    <row r="36" spans="1:15">
      <c r="A36">
        <v>48</v>
      </c>
      <c r="B36">
        <f>0.51-0.5</f>
        <v>1.0000000000000009E-2</v>
      </c>
      <c r="C36">
        <f>1.98-2.31</f>
        <v>-0.33000000000000007</v>
      </c>
      <c r="D36">
        <f t="shared" si="2"/>
        <v>-0.16000000000000003</v>
      </c>
      <c r="F36">
        <f>20.3-19</f>
        <v>1.3000000000000007</v>
      </c>
      <c r="G36">
        <f>24.9-21.2</f>
        <v>3.6999999999999993</v>
      </c>
      <c r="H36">
        <f>AVERAGE(F36:G36)</f>
        <v>2.5</v>
      </c>
    </row>
    <row r="37" spans="1:15" s="2" customFormat="1">
      <c r="A37">
        <v>72</v>
      </c>
      <c r="B37">
        <f>0.55-2</f>
        <v>-1.45</v>
      </c>
      <c r="C37">
        <f>0.87-2.06</f>
        <v>-1.19</v>
      </c>
      <c r="D37">
        <f t="shared" si="2"/>
        <v>-1.3199999999999998</v>
      </c>
      <c r="E37"/>
      <c r="F37">
        <f>42.7-21.1</f>
        <v>21.6</v>
      </c>
      <c r="G37">
        <f>40.8-26.1</f>
        <v>14.699999999999996</v>
      </c>
      <c r="H37">
        <f>AVERAGE(F37:G37)</f>
        <v>18.149999999999999</v>
      </c>
      <c r="I37"/>
    </row>
    <row r="39" spans="1:15" s="2" customFormat="1">
      <c r="I39"/>
      <c r="J39"/>
      <c r="K39"/>
      <c r="L39"/>
      <c r="M39"/>
      <c r="N39"/>
      <c r="O39"/>
    </row>
    <row r="40" spans="1:15">
      <c r="B40" t="s">
        <v>48</v>
      </c>
      <c r="D40" t="s">
        <v>49</v>
      </c>
      <c r="G40"/>
    </row>
    <row r="41" spans="1:15">
      <c r="A41" t="s">
        <v>40</v>
      </c>
      <c r="B41" t="s">
        <v>78</v>
      </c>
      <c r="C41" t="s">
        <v>43</v>
      </c>
      <c r="D41" t="s">
        <v>78</v>
      </c>
      <c r="E41" t="s">
        <v>43</v>
      </c>
      <c r="G41"/>
    </row>
    <row r="42" spans="1:15">
      <c r="A42">
        <v>1</v>
      </c>
      <c r="B42">
        <v>1.0111626970000001</v>
      </c>
      <c r="C42">
        <v>0.71499999999999997</v>
      </c>
      <c r="D42">
        <v>0.183847763</v>
      </c>
      <c r="E42">
        <v>0.13</v>
      </c>
      <c r="G42"/>
    </row>
    <row r="43" spans="1:15">
      <c r="A43">
        <v>6</v>
      </c>
      <c r="B43">
        <v>0.65053823899999996</v>
      </c>
      <c r="C43">
        <v>0.46</v>
      </c>
      <c r="D43">
        <v>1.8243354949999999</v>
      </c>
      <c r="E43">
        <v>1.29</v>
      </c>
      <c r="G43"/>
    </row>
    <row r="44" spans="1:15">
      <c r="A44">
        <v>24</v>
      </c>
      <c r="B44">
        <v>0.57275649299999998</v>
      </c>
      <c r="C44">
        <v>0.40500000000000003</v>
      </c>
      <c r="D44">
        <v>2.0930360719999999</v>
      </c>
      <c r="E44">
        <v>1.48</v>
      </c>
      <c r="G44"/>
    </row>
    <row r="45" spans="1:15">
      <c r="A45">
        <v>48</v>
      </c>
      <c r="B45">
        <v>0.240416306</v>
      </c>
      <c r="C45">
        <v>0.17</v>
      </c>
      <c r="D45">
        <v>1.697056275</v>
      </c>
      <c r="E45">
        <v>1.2</v>
      </c>
      <c r="G45"/>
    </row>
    <row r="46" spans="1:15">
      <c r="A46">
        <v>72</v>
      </c>
      <c r="B46">
        <v>0.183847763</v>
      </c>
      <c r="C46">
        <v>0.13</v>
      </c>
      <c r="D46">
        <v>4.8790367899999998</v>
      </c>
      <c r="E46">
        <v>3.45</v>
      </c>
      <c r="G46"/>
    </row>
  </sheetData>
  <phoneticPr fontId="2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zoomScale="125" zoomScaleNormal="125" zoomScalePageLayoutView="125" workbookViewId="0">
      <selection activeCell="E8" sqref="E8"/>
    </sheetView>
  </sheetViews>
  <sheetFormatPr baseColWidth="10" defaultRowHeight="13" x14ac:dyDescent="0"/>
  <cols>
    <col min="1" max="1" width="13.5703125" customWidth="1"/>
    <col min="2" max="2" width="12" customWidth="1"/>
  </cols>
  <sheetData>
    <row r="1" spans="1:13" s="10" customFormat="1">
      <c r="A1" s="16" t="s">
        <v>86</v>
      </c>
    </row>
    <row r="2" spans="1:13" s="10" customFormat="1">
      <c r="A2" s="16"/>
    </row>
    <row r="4" spans="1:13" s="2" customFormat="1">
      <c r="A4" s="17" t="s">
        <v>76</v>
      </c>
      <c r="B4" s="17"/>
      <c r="I4" s="14"/>
      <c r="J4" s="14" t="s">
        <v>48</v>
      </c>
      <c r="K4" s="14"/>
      <c r="L4" s="14" t="s">
        <v>49</v>
      </c>
    </row>
    <row r="5" spans="1:13" s="14" customFormat="1">
      <c r="A5" s="14" t="s">
        <v>40</v>
      </c>
      <c r="B5" s="14" t="s">
        <v>17</v>
      </c>
      <c r="C5" s="14" t="s">
        <v>18</v>
      </c>
      <c r="D5" s="14" t="s">
        <v>19</v>
      </c>
      <c r="E5" s="14" t="s">
        <v>20</v>
      </c>
      <c r="F5" s="14" t="s">
        <v>22</v>
      </c>
      <c r="G5" s="14" t="s">
        <v>23</v>
      </c>
      <c r="I5" s="14" t="s">
        <v>40</v>
      </c>
      <c r="J5" s="14" t="s">
        <v>78</v>
      </c>
      <c r="K5" s="14" t="s">
        <v>43</v>
      </c>
      <c r="L5" s="14" t="s">
        <v>78</v>
      </c>
      <c r="M5" s="14" t="s">
        <v>43</v>
      </c>
    </row>
    <row r="6" spans="1:13">
      <c r="A6">
        <v>1</v>
      </c>
      <c r="B6">
        <f>10.8-6.76</f>
        <v>4.0400000000000009</v>
      </c>
      <c r="C6">
        <f>8.93-6.35</f>
        <v>2.58</v>
      </c>
      <c r="D6">
        <f>AVERAGE(B6:C6)</f>
        <v>3.3100000000000005</v>
      </c>
      <c r="E6">
        <f>8.93-6.65</f>
        <v>2.2799999999999994</v>
      </c>
      <c r="F6">
        <f>8.48-6.09</f>
        <v>2.3900000000000006</v>
      </c>
      <c r="G6">
        <f>AVERAGE(E6:F6)</f>
        <v>2.335</v>
      </c>
      <c r="I6">
        <v>1</v>
      </c>
      <c r="J6" s="8">
        <f>STDEV(B6:C6)</f>
        <v>1.0323759005323607</v>
      </c>
      <c r="K6" s="8">
        <f>J6/(SQRT(2))</f>
        <v>0.73000000000000087</v>
      </c>
      <c r="L6" s="8">
        <f>STDEV(E6:F6)</f>
        <v>7.7781745930521076E-2</v>
      </c>
      <c r="M6" s="8">
        <f>L6/(SQRT(2))</f>
        <v>5.5000000000000597E-2</v>
      </c>
    </row>
    <row r="7" spans="1:13">
      <c r="A7">
        <v>6</v>
      </c>
      <c r="B7">
        <f>18.4-0.73</f>
        <v>17.669999999999998</v>
      </c>
      <c r="C7">
        <f>12.7-2.52</f>
        <v>10.18</v>
      </c>
      <c r="D7">
        <f t="shared" ref="D7:D10" si="0">AVERAGE(B7:C7)</f>
        <v>13.924999999999999</v>
      </c>
      <c r="E7">
        <f>18.5-6.34</f>
        <v>12.16</v>
      </c>
      <c r="F7">
        <f>13-3.41</f>
        <v>9.59</v>
      </c>
      <c r="G7">
        <f t="shared" ref="G7:G10" si="1">AVERAGE(E7:F7)</f>
        <v>10.875</v>
      </c>
      <c r="I7">
        <v>6</v>
      </c>
      <c r="J7" s="8">
        <f>STDEV(B7:C7)</f>
        <v>5.2962297910872405</v>
      </c>
      <c r="K7" s="8">
        <f t="shared" ref="K7:K10" si="2">J7/(SQRT(2))</f>
        <v>3.7449999999999992</v>
      </c>
      <c r="L7" s="8">
        <f>STDEV(E7:F7)</f>
        <v>1.8172644276494252</v>
      </c>
      <c r="M7" s="8">
        <f t="shared" ref="M7:M10" si="3">L7/(SQRT(2))</f>
        <v>1.2849999999999986</v>
      </c>
    </row>
    <row r="8" spans="1:13">
      <c r="A8">
        <v>24</v>
      </c>
      <c r="B8">
        <f>9.52-2.15</f>
        <v>7.3699999999999992</v>
      </c>
      <c r="C8">
        <f>14-4.44</f>
        <v>9.5599999999999987</v>
      </c>
      <c r="D8">
        <f t="shared" si="0"/>
        <v>8.4649999999999999</v>
      </c>
      <c r="E8">
        <f>19.5-5.37</f>
        <v>14.129999999999999</v>
      </c>
      <c r="F8">
        <f>19.2-7.05</f>
        <v>12.149999999999999</v>
      </c>
      <c r="G8">
        <f t="shared" si="1"/>
        <v>13.139999999999999</v>
      </c>
      <c r="I8">
        <v>24</v>
      </c>
      <c r="J8" s="8">
        <f>STDEV(B8:C8)</f>
        <v>1.5485638507985338</v>
      </c>
      <c r="K8" s="8">
        <f t="shared" si="2"/>
        <v>1.0949999999999962</v>
      </c>
      <c r="L8" s="8">
        <f>STDEV(E8:F8)</f>
        <v>1.4000714267493644</v>
      </c>
      <c r="M8" s="8">
        <f t="shared" si="3"/>
        <v>0.9900000000000001</v>
      </c>
    </row>
    <row r="9" spans="1:13">
      <c r="A9">
        <v>48</v>
      </c>
      <c r="B9">
        <f>38.1-0.5</f>
        <v>37.6</v>
      </c>
      <c r="C9">
        <f>20.8-2.31</f>
        <v>18.490000000000002</v>
      </c>
      <c r="D9">
        <f t="shared" si="0"/>
        <v>28.045000000000002</v>
      </c>
      <c r="E9">
        <f>40.9-19</f>
        <v>21.9</v>
      </c>
      <c r="F9">
        <f>40.7-21.2</f>
        <v>19.500000000000004</v>
      </c>
      <c r="G9">
        <f t="shared" si="1"/>
        <v>20.700000000000003</v>
      </c>
      <c r="I9">
        <v>48</v>
      </c>
      <c r="J9" s="8">
        <f>STDEV(B9:C9)</f>
        <v>13.512810588474927</v>
      </c>
      <c r="K9" s="8">
        <f t="shared" si="2"/>
        <v>9.5550000000000015</v>
      </c>
      <c r="L9" s="8">
        <f>STDEV(E9:F9)</f>
        <v>1.6970562748477107</v>
      </c>
      <c r="M9" s="8">
        <f t="shared" si="3"/>
        <v>1.1999999999999975</v>
      </c>
    </row>
    <row r="10" spans="1:13">
      <c r="A10">
        <v>72</v>
      </c>
      <c r="B10">
        <f>36.5-2.06</f>
        <v>34.44</v>
      </c>
      <c r="C10">
        <f>18.9-2.06</f>
        <v>16.84</v>
      </c>
      <c r="D10">
        <f t="shared" si="0"/>
        <v>25.64</v>
      </c>
      <c r="E10">
        <f>34.2-21.1</f>
        <v>13.100000000000001</v>
      </c>
      <c r="F10">
        <f>27.1-26.1</f>
        <v>1</v>
      </c>
      <c r="G10">
        <f t="shared" si="1"/>
        <v>7.0500000000000007</v>
      </c>
      <c r="I10">
        <v>72</v>
      </c>
      <c r="J10" s="8">
        <f>STDEV(B10:C10)</f>
        <v>12.445079348883231</v>
      </c>
      <c r="K10" s="8">
        <f t="shared" si="2"/>
        <v>8.7999999999999954</v>
      </c>
      <c r="L10" s="8">
        <f>STDEV(E10:F10)</f>
        <v>8.5559920523572259</v>
      </c>
      <c r="M10" s="8">
        <f t="shared" si="3"/>
        <v>6.05</v>
      </c>
    </row>
    <row r="42" spans="1:4">
      <c r="A42" s="6"/>
      <c r="B42" s="6"/>
      <c r="D42" s="6"/>
    </row>
    <row r="43" spans="1:4">
      <c r="A43" s="6"/>
      <c r="B43" s="6"/>
      <c r="D43" s="6"/>
    </row>
    <row r="44" spans="1:4">
      <c r="A44" s="6"/>
      <c r="B44" s="6"/>
      <c r="D44" s="6"/>
    </row>
    <row r="45" spans="1:4">
      <c r="A45" s="6"/>
      <c r="B45" s="6"/>
      <c r="D45" s="6"/>
    </row>
  </sheetData>
  <mergeCells count="1">
    <mergeCell ref="A4:B4"/>
  </mergeCells>
  <phoneticPr fontId="2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zoomScale="125" zoomScaleNormal="125" zoomScalePageLayoutView="125" workbookViewId="0">
      <selection activeCell="A30" sqref="A30"/>
    </sheetView>
  </sheetViews>
  <sheetFormatPr baseColWidth="10" defaultRowHeight="13" x14ac:dyDescent="0"/>
  <cols>
    <col min="1" max="1" width="14" customWidth="1"/>
  </cols>
  <sheetData>
    <row r="1" spans="1:9" s="10" customFormat="1">
      <c r="A1" s="16" t="s">
        <v>46</v>
      </c>
      <c r="E1" s="11"/>
      <c r="F1" s="11"/>
      <c r="G1" s="11"/>
      <c r="H1" s="11"/>
    </row>
    <row r="2" spans="1:9" s="10" customFormat="1"/>
    <row r="4" spans="1:9">
      <c r="A4" s="2" t="s">
        <v>32</v>
      </c>
      <c r="B4" s="2" t="s">
        <v>33</v>
      </c>
      <c r="C4" s="2" t="s">
        <v>0</v>
      </c>
      <c r="D4" s="2" t="s">
        <v>1</v>
      </c>
      <c r="E4" s="2" t="s">
        <v>2</v>
      </c>
      <c r="F4" s="2" t="s">
        <v>3</v>
      </c>
      <c r="G4" s="2" t="s">
        <v>4</v>
      </c>
      <c r="H4" s="9" t="s">
        <v>55</v>
      </c>
      <c r="I4" s="2" t="s">
        <v>56</v>
      </c>
    </row>
    <row r="5" spans="1:9">
      <c r="E5" s="7"/>
      <c r="H5" s="5"/>
      <c r="I5" s="5"/>
    </row>
    <row r="6" spans="1:9">
      <c r="A6" t="s">
        <v>57</v>
      </c>
      <c r="B6">
        <v>153</v>
      </c>
      <c r="C6">
        <v>60</v>
      </c>
      <c r="D6">
        <v>22.184999999999999</v>
      </c>
      <c r="E6" s="7">
        <f>(D6/60)/1000</f>
        <v>3.6974999999999996E-4</v>
      </c>
      <c r="F6">
        <f>B6/C6</f>
        <v>2.5499999999999998</v>
      </c>
      <c r="G6">
        <f>F6/E6</f>
        <v>6896.5517241379312</v>
      </c>
      <c r="H6" s="5">
        <f>G6</f>
        <v>6896.5517241379312</v>
      </c>
      <c r="I6" s="5">
        <f>H6*50</f>
        <v>344827.58620689658</v>
      </c>
    </row>
    <row r="7" spans="1:9">
      <c r="A7" t="s">
        <v>58</v>
      </c>
      <c r="B7">
        <v>1050</v>
      </c>
      <c r="C7">
        <v>60</v>
      </c>
      <c r="D7">
        <v>22.184999999999999</v>
      </c>
      <c r="E7" s="7">
        <f t="shared" ref="E7:E24" si="0">(D7/60)/1000</f>
        <v>3.6974999999999996E-4</v>
      </c>
      <c r="F7">
        <f>B7/C7</f>
        <v>17.5</v>
      </c>
      <c r="G7">
        <f>F7/E7</f>
        <v>47329.276538201491</v>
      </c>
      <c r="H7" s="5">
        <f>G7</f>
        <v>47329.276538201491</v>
      </c>
      <c r="I7" s="5">
        <f>H7*50</f>
        <v>2366463.8269100748</v>
      </c>
    </row>
    <row r="8" spans="1:9">
      <c r="A8" t="s">
        <v>59</v>
      </c>
      <c r="B8">
        <v>230</v>
      </c>
      <c r="C8">
        <v>60</v>
      </c>
      <c r="D8">
        <v>22.184999999999999</v>
      </c>
      <c r="E8" s="7">
        <f t="shared" si="0"/>
        <v>3.6974999999999996E-4</v>
      </c>
      <c r="F8">
        <f>B8/C8</f>
        <v>3.8333333333333335</v>
      </c>
      <c r="G8">
        <f>F8/E8</f>
        <v>10367.365336939374</v>
      </c>
      <c r="H8" s="5">
        <f>G8</f>
        <v>10367.365336939374</v>
      </c>
      <c r="I8" s="5">
        <f>H8*50</f>
        <v>518368.26684696873</v>
      </c>
    </row>
    <row r="9" spans="1:9">
      <c r="A9" t="s">
        <v>58</v>
      </c>
      <c r="B9">
        <v>1047</v>
      </c>
      <c r="C9">
        <v>60</v>
      </c>
      <c r="D9">
        <v>22.184999999999999</v>
      </c>
      <c r="E9" s="7">
        <f t="shared" si="0"/>
        <v>3.6974999999999996E-4</v>
      </c>
      <c r="F9">
        <f>B9/C9</f>
        <v>17.45</v>
      </c>
      <c r="G9">
        <f>F9/E9</f>
        <v>47194.050033806627</v>
      </c>
      <c r="H9" s="5">
        <f>G9</f>
        <v>47194.050033806627</v>
      </c>
      <c r="I9" s="5">
        <f>H9*50</f>
        <v>2359702.5016903314</v>
      </c>
    </row>
    <row r="10" spans="1:9">
      <c r="E10" s="7"/>
      <c r="H10" s="5"/>
      <c r="I10" s="5"/>
    </row>
    <row r="11" spans="1:9">
      <c r="A11" t="s">
        <v>60</v>
      </c>
      <c r="B11">
        <v>339</v>
      </c>
      <c r="C11">
        <v>60</v>
      </c>
      <c r="D11">
        <v>22.184999999999999</v>
      </c>
      <c r="E11" s="7">
        <f t="shared" si="0"/>
        <v>3.6974999999999996E-4</v>
      </c>
      <c r="F11">
        <f>B11/C11</f>
        <v>5.65</v>
      </c>
      <c r="G11">
        <f>F11/E11</f>
        <v>15280.59499661934</v>
      </c>
      <c r="H11" s="5">
        <f>G11</f>
        <v>15280.59499661934</v>
      </c>
      <c r="I11" s="5">
        <f>H11*50</f>
        <v>764029.74983096705</v>
      </c>
    </row>
    <row r="12" spans="1:9">
      <c r="A12" t="s">
        <v>61</v>
      </c>
      <c r="B12">
        <v>3585</v>
      </c>
      <c r="C12">
        <v>60</v>
      </c>
      <c r="D12">
        <v>22.184999999999999</v>
      </c>
      <c r="E12" s="7">
        <f t="shared" si="0"/>
        <v>3.6974999999999996E-4</v>
      </c>
      <c r="F12">
        <f>B12/C12</f>
        <v>59.75</v>
      </c>
      <c r="G12">
        <f>F12/E12</f>
        <v>161595.67275185938</v>
      </c>
      <c r="H12" s="5">
        <f>G12</f>
        <v>161595.67275185938</v>
      </c>
      <c r="I12" s="5">
        <f>H12*50</f>
        <v>8079783.6375929695</v>
      </c>
    </row>
    <row r="13" spans="1:9">
      <c r="A13" t="s">
        <v>62</v>
      </c>
      <c r="B13">
        <v>217</v>
      </c>
      <c r="C13">
        <v>60</v>
      </c>
      <c r="D13">
        <v>22.184999999999999</v>
      </c>
      <c r="E13" s="7">
        <f t="shared" si="0"/>
        <v>3.6974999999999996E-4</v>
      </c>
      <c r="F13">
        <f>B13/C13</f>
        <v>3.6166666666666667</v>
      </c>
      <c r="G13">
        <f>F13/E13</f>
        <v>9781.3838178949754</v>
      </c>
      <c r="H13" s="5">
        <f>G13</f>
        <v>9781.3838178949754</v>
      </c>
      <c r="I13" s="5">
        <f>H13*50</f>
        <v>489069.19089474878</v>
      </c>
    </row>
    <row r="14" spans="1:9">
      <c r="A14" t="s">
        <v>5</v>
      </c>
      <c r="B14">
        <v>4579</v>
      </c>
      <c r="C14">
        <v>60</v>
      </c>
      <c r="D14">
        <v>22.184999999999999</v>
      </c>
      <c r="E14" s="7">
        <f t="shared" si="0"/>
        <v>3.6974999999999996E-4</v>
      </c>
      <c r="F14">
        <f>B14/C14</f>
        <v>76.316666666666663</v>
      </c>
      <c r="G14">
        <f>F14/E14</f>
        <v>206400.72120802346</v>
      </c>
      <c r="H14" s="5">
        <f>G14</f>
        <v>206400.72120802346</v>
      </c>
      <c r="I14" s="5">
        <f>H14*50</f>
        <v>10320036.060401173</v>
      </c>
    </row>
    <row r="15" spans="1:9">
      <c r="E15" s="7"/>
      <c r="H15" s="5"/>
      <c r="I15" s="5"/>
    </row>
    <row r="16" spans="1:9">
      <c r="A16" t="s">
        <v>63</v>
      </c>
      <c r="B16">
        <v>250</v>
      </c>
      <c r="C16">
        <v>60</v>
      </c>
      <c r="D16">
        <v>22.184999999999999</v>
      </c>
      <c r="E16" s="7">
        <f t="shared" si="0"/>
        <v>3.6974999999999996E-4</v>
      </c>
      <c r="F16">
        <f>B16/C16</f>
        <v>4.166666666666667</v>
      </c>
      <c r="G16">
        <f>F16/E16</f>
        <v>11268.875366238452</v>
      </c>
      <c r="H16" s="5">
        <f>G16</f>
        <v>11268.875366238452</v>
      </c>
      <c r="I16" s="5">
        <f>H16*50</f>
        <v>563443.76831192255</v>
      </c>
    </row>
    <row r="17" spans="1:12">
      <c r="A17" t="s">
        <v>64</v>
      </c>
      <c r="B17">
        <v>326354</v>
      </c>
      <c r="C17">
        <v>60</v>
      </c>
      <c r="D17">
        <v>22.184999999999999</v>
      </c>
      <c r="E17" s="7">
        <f t="shared" si="0"/>
        <v>3.6974999999999996E-4</v>
      </c>
      <c r="F17">
        <f>B17/C17</f>
        <v>5439.2333333333336</v>
      </c>
      <c r="G17">
        <f>F17/E17</f>
        <v>14710570.205093535</v>
      </c>
      <c r="H17" s="5">
        <f>G17</f>
        <v>14710570.205093535</v>
      </c>
      <c r="I17" s="5">
        <f>H17*50</f>
        <v>735528510.2546767</v>
      </c>
    </row>
    <row r="18" spans="1:12">
      <c r="A18" t="s">
        <v>65</v>
      </c>
      <c r="B18">
        <v>363</v>
      </c>
      <c r="C18">
        <v>60</v>
      </c>
      <c r="D18">
        <v>22.184999999999999</v>
      </c>
      <c r="E18" s="7">
        <f t="shared" si="0"/>
        <v>3.6974999999999996E-4</v>
      </c>
      <c r="F18">
        <f>B18/C18</f>
        <v>6.05</v>
      </c>
      <c r="G18">
        <f>F18/E18</f>
        <v>16362.40703177823</v>
      </c>
      <c r="H18" s="5">
        <f>G18</f>
        <v>16362.40703177823</v>
      </c>
      <c r="I18" s="5">
        <f>H18*50</f>
        <v>818120.35158891149</v>
      </c>
    </row>
    <row r="19" spans="1:12">
      <c r="A19" t="s">
        <v>66</v>
      </c>
      <c r="B19">
        <v>361355</v>
      </c>
      <c r="C19">
        <v>60</v>
      </c>
      <c r="D19">
        <v>22.184999999999999</v>
      </c>
      <c r="E19" s="7">
        <f t="shared" si="0"/>
        <v>3.6974999999999996E-4</v>
      </c>
      <c r="F19">
        <f>B19/C19</f>
        <v>6022.583333333333</v>
      </c>
      <c r="G19">
        <f>F19/E19</f>
        <v>16288257.83186838</v>
      </c>
      <c r="H19" s="5">
        <f>G19</f>
        <v>16288257.83186838</v>
      </c>
      <c r="I19" s="5">
        <f>H19*50</f>
        <v>814412891.59341908</v>
      </c>
    </row>
    <row r="20" spans="1:12">
      <c r="E20" s="7"/>
      <c r="H20" s="5"/>
      <c r="I20" s="5"/>
    </row>
    <row r="21" spans="1:12">
      <c r="A21" t="s">
        <v>67</v>
      </c>
      <c r="B21">
        <v>385</v>
      </c>
      <c r="C21">
        <v>60</v>
      </c>
      <c r="D21">
        <f>24.7</f>
        <v>24.7</v>
      </c>
      <c r="E21" s="7">
        <f>(D21/60)/1000</f>
        <v>4.1166666666666668E-4</v>
      </c>
      <c r="F21">
        <f>B21/C21</f>
        <v>6.416666666666667</v>
      </c>
      <c r="G21">
        <f>F21/E21</f>
        <v>15587.044534412955</v>
      </c>
      <c r="H21" s="5">
        <f>G21</f>
        <v>15587.044534412955</v>
      </c>
      <c r="I21" s="5">
        <f>H21*50</f>
        <v>779352.22672064777</v>
      </c>
    </row>
    <row r="22" spans="1:12">
      <c r="A22" t="s">
        <v>68</v>
      </c>
      <c r="B22">
        <v>441079</v>
      </c>
      <c r="C22">
        <v>60</v>
      </c>
      <c r="D22" s="7">
        <f t="shared" ref="D22:D24" si="1">24.7</f>
        <v>24.7</v>
      </c>
      <c r="E22" s="7">
        <f t="shared" si="0"/>
        <v>4.1166666666666668E-4</v>
      </c>
      <c r="F22">
        <f>B22/C22</f>
        <v>7351.3166666666666</v>
      </c>
      <c r="G22">
        <f>F22/E22</f>
        <v>17857449.392712548</v>
      </c>
      <c r="H22" s="5">
        <f>G22</f>
        <v>17857449.392712548</v>
      </c>
      <c r="I22" s="5">
        <f>H22*50</f>
        <v>892872469.63562739</v>
      </c>
    </row>
    <row r="23" spans="1:12">
      <c r="A23" t="s">
        <v>69</v>
      </c>
      <c r="B23">
        <v>446</v>
      </c>
      <c r="C23">
        <v>60</v>
      </c>
      <c r="D23" s="7">
        <f t="shared" si="1"/>
        <v>24.7</v>
      </c>
      <c r="E23" s="7">
        <f t="shared" si="0"/>
        <v>4.1166666666666668E-4</v>
      </c>
      <c r="F23">
        <f>B23/C23</f>
        <v>7.4333333333333336</v>
      </c>
      <c r="G23">
        <f>F23/E23</f>
        <v>18056.680161943321</v>
      </c>
      <c r="H23" s="5">
        <f>G23</f>
        <v>18056.680161943321</v>
      </c>
      <c r="I23" s="5">
        <f>H23*50</f>
        <v>902834.00809716608</v>
      </c>
    </row>
    <row r="24" spans="1:12">
      <c r="A24" t="s">
        <v>70</v>
      </c>
      <c r="B24">
        <v>497939</v>
      </c>
      <c r="C24">
        <v>60</v>
      </c>
      <c r="D24" s="7">
        <f t="shared" si="1"/>
        <v>24.7</v>
      </c>
      <c r="E24" s="7">
        <f t="shared" si="0"/>
        <v>4.1166666666666668E-4</v>
      </c>
      <c r="F24">
        <f>B24/C24</f>
        <v>8298.9833333333336</v>
      </c>
      <c r="G24">
        <f>F24/E24</f>
        <v>20159473.684210528</v>
      </c>
      <c r="H24" s="5">
        <f>G24</f>
        <v>20159473.684210528</v>
      </c>
      <c r="I24" s="5">
        <f>H24*50</f>
        <v>1007973684.2105263</v>
      </c>
    </row>
    <row r="25" spans="1:12">
      <c r="D25" s="7"/>
      <c r="E25" s="7"/>
      <c r="H25" s="5"/>
      <c r="I25" s="5"/>
    </row>
    <row r="26" spans="1:12">
      <c r="I26" t="s">
        <v>48</v>
      </c>
      <c r="K26" t="s">
        <v>49</v>
      </c>
    </row>
    <row r="27" spans="1:12">
      <c r="A27" t="s">
        <v>12</v>
      </c>
      <c r="B27" t="s">
        <v>13</v>
      </c>
      <c r="C27" t="s">
        <v>6</v>
      </c>
      <c r="D27" t="s">
        <v>50</v>
      </c>
      <c r="E27" t="s">
        <v>14</v>
      </c>
      <c r="F27" t="s">
        <v>31</v>
      </c>
      <c r="G27" t="s">
        <v>51</v>
      </c>
      <c r="I27" t="s">
        <v>78</v>
      </c>
      <c r="J27" t="s">
        <v>43</v>
      </c>
      <c r="K27" t="s">
        <v>78</v>
      </c>
      <c r="L27" t="s">
        <v>43</v>
      </c>
    </row>
    <row r="28" spans="1:12">
      <c r="A28">
        <v>6</v>
      </c>
      <c r="B28" s="3">
        <f>I6</f>
        <v>344827.58620689658</v>
      </c>
      <c r="C28" s="3">
        <f>I8</f>
        <v>518368.26684696873</v>
      </c>
      <c r="D28" s="3">
        <f>AVERAGE(B28:C28)</f>
        <v>431597.92652693263</v>
      </c>
      <c r="E28" s="3">
        <f>I7</f>
        <v>2366463.8269100748</v>
      </c>
      <c r="F28" s="3">
        <f>I9</f>
        <v>2359702.5016903314</v>
      </c>
      <c r="G28" s="3">
        <f>AVERAGE(E28:F28)</f>
        <v>2363083.1643002033</v>
      </c>
      <c r="I28">
        <f>STDEV(B28:C28)</f>
        <v>122711.79209232406</v>
      </c>
      <c r="J28">
        <f>I28/(SQRT(2))</f>
        <v>86770.340320036092</v>
      </c>
      <c r="K28">
        <f>STDEV(E28:F28)</f>
        <v>4780.9789126881951</v>
      </c>
      <c r="L28">
        <f>K28/(SQRT(2))</f>
        <v>3380.6626098717093</v>
      </c>
    </row>
    <row r="29" spans="1:12">
      <c r="A29">
        <v>24</v>
      </c>
      <c r="B29" s="3">
        <f>I11</f>
        <v>764029.74983096705</v>
      </c>
      <c r="C29" s="3">
        <f>I13</f>
        <v>489069.19089474878</v>
      </c>
      <c r="D29" s="3">
        <f>AVERAGE(B29:C29)</f>
        <v>626549.47036285792</v>
      </c>
      <c r="E29" s="3">
        <f>I12</f>
        <v>8079783.6375929695</v>
      </c>
      <c r="F29" s="3">
        <f>I14</f>
        <v>10320036.060401173</v>
      </c>
      <c r="G29" s="3">
        <f>AVERAGE(E29:F29)</f>
        <v>9199909.8489970714</v>
      </c>
      <c r="I29">
        <f>STDEV(B29:C29)</f>
        <v>194426.47578264331</v>
      </c>
      <c r="J29">
        <f>I29/(SQRT(2))</f>
        <v>137480.27946810913</v>
      </c>
      <c r="K29">
        <f>STDEV(E29:F29)</f>
        <v>1584097.6797372692</v>
      </c>
      <c r="L29">
        <f t="shared" ref="L29:L31" si="2">K29/(SQRT(2))</f>
        <v>1120126.2114040987</v>
      </c>
    </row>
    <row r="30" spans="1:12">
      <c r="A30">
        <v>48</v>
      </c>
      <c r="B30" s="3">
        <f>I16</f>
        <v>563443.76831192255</v>
      </c>
      <c r="C30" s="3">
        <f>I18</f>
        <v>818120.35158891149</v>
      </c>
      <c r="D30" s="3">
        <f>AVERAGE(B30:C30)</f>
        <v>690782.05995041702</v>
      </c>
      <c r="E30" s="3">
        <f>I17</f>
        <v>735528510.2546767</v>
      </c>
      <c r="F30" s="3">
        <f>I19</f>
        <v>814412891.59341908</v>
      </c>
      <c r="G30" s="3">
        <f>AVERAGE(E30:F30)</f>
        <v>774970700.92404795</v>
      </c>
      <c r="I30">
        <f>STDEV(B30:C30)</f>
        <v>180083.5390445794</v>
      </c>
      <c r="J30">
        <f>I30/(SQRT(2))</f>
        <v>127338.29163849448</v>
      </c>
      <c r="K30">
        <f>STDEV(E30:F30)</f>
        <v>55779680.974330276</v>
      </c>
      <c r="L30">
        <f t="shared" si="2"/>
        <v>39442190.669371188</v>
      </c>
    </row>
    <row r="31" spans="1:12">
      <c r="A31">
        <v>72</v>
      </c>
      <c r="B31" s="3">
        <f>I21</f>
        <v>779352.22672064777</v>
      </c>
      <c r="C31" s="3">
        <f>I23</f>
        <v>902834.00809716608</v>
      </c>
      <c r="D31" s="3">
        <f>AVERAGE(B31:C31)</f>
        <v>841093.11740890692</v>
      </c>
      <c r="E31" s="3">
        <f>I22</f>
        <v>892872469.63562739</v>
      </c>
      <c r="F31" s="3">
        <f>I24</f>
        <v>1007973684.2105263</v>
      </c>
      <c r="G31" s="3">
        <f>AVERAGE(E31:F31)</f>
        <v>950423076.92307687</v>
      </c>
      <c r="I31">
        <f>STDEV(B31:C31)</f>
        <v>87314.804964330833</v>
      </c>
      <c r="J31">
        <f>I31/(SQRT(2))</f>
        <v>61740.890688259155</v>
      </c>
      <c r="K31">
        <f>STDEV(E31:F31)</f>
        <v>81388849.348718926</v>
      </c>
      <c r="L31">
        <f t="shared" si="2"/>
        <v>57550607.287449472</v>
      </c>
    </row>
  </sheetData>
  <phoneticPr fontId="2" type="noConversion"/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Cell Abundance</vt:lpstr>
      <vt:lpstr>DAF-FM</vt:lpstr>
      <vt:lpstr>H2-DCFDA</vt:lpstr>
      <vt:lpstr>SYTOX</vt:lpstr>
      <vt:lpstr>Virus counts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Brittany Schieler</dc:creator>
  <cp:lastModifiedBy>Brittany Schieler</cp:lastModifiedBy>
  <dcterms:created xsi:type="dcterms:W3CDTF">2013-10-29T02:00:58Z</dcterms:created>
  <dcterms:modified xsi:type="dcterms:W3CDTF">2015-03-30T18:58:12Z</dcterms:modified>
</cp:coreProperties>
</file>